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973"/>
  </bookViews>
  <sheets>
    <sheet name="INDEX" sheetId="1" r:id="rId1"/>
    <sheet name="14139506" sheetId="2" r:id="rId2"/>
    <sheet name="13988608" sheetId="3" r:id="rId3"/>
    <sheet name="13986326" sheetId="4" r:id="rId4"/>
    <sheet name="13974678" sheetId="5" r:id="rId5"/>
    <sheet name="13971123" sheetId="6" r:id="rId6"/>
    <sheet name="13966390" sheetId="7" r:id="rId7"/>
    <sheet name="13956300" sheetId="8" r:id="rId8"/>
    <sheet name="13945369" sheetId="9" r:id="rId9"/>
    <sheet name="13943460" sheetId="10" r:id="rId10"/>
    <sheet name="13924835" sheetId="11" r:id="rId11"/>
    <sheet name="13814863" sheetId="12" r:id="rId12"/>
    <sheet name="13812457" sheetId="13" r:id="rId13"/>
    <sheet name="13808823" sheetId="14" r:id="rId14"/>
  </sheets>
  <definedNames>
    <definedName name="_xlnm._FilterDatabase" localSheetId="1" hidden="1">'14139506'!$A$8:$K$246</definedName>
  </definedNames>
  <calcPr calcId="152511"/>
</workbook>
</file>

<file path=xl/calcChain.xml><?xml version="1.0" encoding="utf-8"?>
<calcChain xmlns="http://schemas.openxmlformats.org/spreadsheetml/2006/main">
  <c r="M9" i="14" l="1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M106" i="14"/>
  <c r="M107" i="14"/>
  <c r="M108" i="14"/>
  <c r="M109" i="14"/>
  <c r="M110" i="14"/>
  <c r="M111" i="14"/>
  <c r="M112" i="14"/>
  <c r="M113" i="14"/>
  <c r="M114" i="14"/>
  <c r="M115" i="14"/>
  <c r="M116" i="14"/>
  <c r="M117" i="14"/>
  <c r="M118" i="14"/>
  <c r="M119" i="14"/>
  <c r="M120" i="14"/>
  <c r="M121" i="14"/>
  <c r="M122" i="14"/>
  <c r="M123" i="14"/>
  <c r="M124" i="14"/>
  <c r="M125" i="14"/>
  <c r="M126" i="14"/>
  <c r="M127" i="14"/>
  <c r="M128" i="14"/>
  <c r="M129" i="14"/>
  <c r="M130" i="14"/>
  <c r="M131" i="14"/>
  <c r="M132" i="14"/>
  <c r="M133" i="14"/>
  <c r="M134" i="14"/>
  <c r="M135" i="14"/>
  <c r="M136" i="14"/>
  <c r="M137" i="14"/>
  <c r="M138" i="14"/>
  <c r="M139" i="14"/>
  <c r="M140" i="14"/>
  <c r="M141" i="14"/>
  <c r="M142" i="14"/>
  <c r="M143" i="14"/>
  <c r="M144" i="14"/>
  <c r="M145" i="14"/>
  <c r="M146" i="14"/>
  <c r="M147" i="14"/>
  <c r="M148" i="14"/>
  <c r="M149" i="14"/>
  <c r="M150" i="14"/>
  <c r="M151" i="14"/>
  <c r="M152" i="14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4" i="13"/>
  <c r="M215" i="13"/>
  <c r="M216" i="13"/>
  <c r="M217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0" i="13"/>
  <c r="M241" i="13"/>
  <c r="M242" i="13"/>
  <c r="M243" i="13"/>
  <c r="M244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4" i="13"/>
  <c r="M295" i="13"/>
  <c r="M296" i="13"/>
  <c r="M297" i="13"/>
  <c r="M298" i="13"/>
  <c r="M299" i="13"/>
  <c r="M300" i="13"/>
  <c r="M301" i="13"/>
  <c r="M302" i="13"/>
  <c r="M303" i="13"/>
  <c r="M304" i="13"/>
  <c r="M305" i="13"/>
  <c r="M306" i="13"/>
  <c r="M307" i="13"/>
  <c r="M308" i="13"/>
  <c r="M309" i="13"/>
  <c r="M310" i="13"/>
  <c r="M311" i="13"/>
  <c r="M312" i="13"/>
  <c r="M313" i="13"/>
  <c r="M314" i="13"/>
  <c r="M315" i="13"/>
  <c r="M316" i="13"/>
  <c r="M317" i="13"/>
  <c r="M318" i="13"/>
  <c r="M319" i="13"/>
  <c r="M320" i="13"/>
  <c r="M321" i="13"/>
  <c r="M322" i="13"/>
  <c r="M323" i="13"/>
  <c r="M324" i="13"/>
  <c r="M325" i="13"/>
  <c r="M326" i="13"/>
  <c r="M327" i="13"/>
  <c r="M328" i="13"/>
  <c r="M329" i="13"/>
  <c r="M330" i="13"/>
  <c r="M331" i="13"/>
  <c r="M332" i="13"/>
  <c r="M333" i="13"/>
  <c r="M334" i="13"/>
  <c r="M335" i="13"/>
  <c r="M336" i="13"/>
  <c r="M337" i="13"/>
  <c r="M338" i="13"/>
  <c r="M339" i="13"/>
  <c r="M340" i="13"/>
  <c r="M341" i="13"/>
  <c r="M342" i="13"/>
  <c r="M343" i="13"/>
  <c r="M344" i="13"/>
  <c r="M345" i="13"/>
  <c r="M346" i="13"/>
  <c r="M347" i="13"/>
  <c r="M348" i="13"/>
  <c r="M349" i="13"/>
  <c r="M350" i="13"/>
  <c r="M351" i="13"/>
  <c r="M352" i="13"/>
  <c r="M353" i="13"/>
  <c r="M354" i="13"/>
  <c r="M355" i="13"/>
  <c r="M356" i="13"/>
  <c r="M357" i="13"/>
  <c r="M358" i="13"/>
  <c r="M359" i="13"/>
  <c r="M360" i="13"/>
  <c r="M361" i="13"/>
  <c r="M362" i="13"/>
  <c r="M363" i="13"/>
  <c r="M364" i="13"/>
  <c r="M365" i="13"/>
  <c r="M366" i="13"/>
  <c r="M367" i="13"/>
  <c r="M368" i="13"/>
  <c r="M369" i="13"/>
  <c r="M370" i="13"/>
  <c r="M371" i="13"/>
  <c r="M372" i="13"/>
  <c r="M373" i="13"/>
  <c r="M374" i="13"/>
  <c r="M375" i="13"/>
  <c r="M376" i="13"/>
  <c r="M377" i="13"/>
  <c r="M378" i="13"/>
  <c r="M379" i="13"/>
  <c r="M380" i="13"/>
  <c r="M381" i="13"/>
  <c r="M382" i="13"/>
  <c r="M383" i="13"/>
  <c r="M384" i="13"/>
  <c r="M385" i="13"/>
  <c r="M386" i="13"/>
  <c r="M387" i="13"/>
  <c r="M388" i="13"/>
  <c r="M389" i="13"/>
  <c r="M390" i="13"/>
  <c r="M391" i="13"/>
  <c r="M392" i="13"/>
  <c r="M393" i="13"/>
  <c r="M394" i="13"/>
  <c r="M395" i="13"/>
  <c r="M396" i="13"/>
  <c r="M397" i="13"/>
  <c r="M398" i="13"/>
  <c r="M399" i="13"/>
  <c r="M400" i="13"/>
  <c r="M401" i="13"/>
  <c r="M402" i="13"/>
  <c r="M403" i="13"/>
  <c r="M404" i="13"/>
  <c r="M405" i="13"/>
  <c r="M406" i="13"/>
  <c r="M407" i="13"/>
  <c r="M408" i="13"/>
  <c r="M409" i="13"/>
  <c r="M410" i="13"/>
  <c r="M411" i="13"/>
  <c r="M412" i="13"/>
  <c r="M413" i="13"/>
  <c r="M414" i="13"/>
  <c r="M415" i="13"/>
  <c r="M416" i="13"/>
  <c r="M417" i="13"/>
  <c r="M418" i="13"/>
  <c r="M419" i="13"/>
  <c r="M420" i="13"/>
  <c r="M421" i="13"/>
  <c r="M422" i="13"/>
  <c r="M423" i="13"/>
  <c r="M424" i="13"/>
  <c r="M425" i="13"/>
  <c r="M426" i="13"/>
  <c r="M427" i="13"/>
  <c r="M428" i="13"/>
  <c r="M429" i="13"/>
  <c r="M430" i="13"/>
  <c r="M431" i="13"/>
  <c r="M432" i="13"/>
  <c r="M433" i="13"/>
  <c r="M434" i="13"/>
  <c r="M435" i="13"/>
  <c r="M436" i="13"/>
  <c r="M437" i="13"/>
  <c r="M438" i="13"/>
  <c r="M439" i="13"/>
  <c r="M440" i="13"/>
  <c r="M441" i="13"/>
  <c r="M442" i="13"/>
  <c r="M443" i="13"/>
  <c r="M444" i="13"/>
  <c r="M445" i="13"/>
  <c r="M446" i="13"/>
  <c r="M447" i="13"/>
  <c r="M448" i="13"/>
  <c r="M449" i="13"/>
  <c r="M450" i="13"/>
  <c r="M451" i="13"/>
  <c r="M452" i="13"/>
  <c r="M453" i="13"/>
  <c r="M454" i="13"/>
  <c r="M455" i="13"/>
  <c r="M456" i="13"/>
  <c r="M457" i="13"/>
  <c r="M458" i="13"/>
  <c r="M459" i="13"/>
  <c r="M460" i="13"/>
  <c r="M461" i="13"/>
  <c r="M462" i="13"/>
  <c r="M463" i="13"/>
  <c r="M464" i="13"/>
  <c r="M465" i="13"/>
  <c r="M466" i="13"/>
  <c r="M467" i="13"/>
  <c r="M468" i="13"/>
  <c r="M469" i="13"/>
  <c r="M470" i="13"/>
  <c r="M471" i="13"/>
  <c r="M472" i="13"/>
  <c r="M473" i="13"/>
  <c r="M474" i="13"/>
  <c r="M475" i="13"/>
  <c r="M476" i="13"/>
  <c r="M477" i="13"/>
  <c r="M478" i="13"/>
  <c r="M479" i="13"/>
  <c r="M480" i="13"/>
  <c r="M481" i="13"/>
  <c r="M482" i="13"/>
  <c r="M483" i="13"/>
  <c r="M484" i="13"/>
  <c r="M485" i="13"/>
  <c r="M486" i="13"/>
  <c r="M487" i="13"/>
  <c r="M488" i="13"/>
  <c r="M489" i="13"/>
  <c r="M490" i="13"/>
  <c r="M491" i="13"/>
  <c r="M492" i="13"/>
  <c r="M493" i="13"/>
  <c r="M494" i="13"/>
  <c r="M495" i="13"/>
  <c r="M496" i="13"/>
  <c r="M497" i="13"/>
  <c r="M498" i="13"/>
  <c r="M499" i="13"/>
  <c r="M500" i="13"/>
  <c r="M501" i="13"/>
  <c r="M502" i="13"/>
  <c r="M503" i="13"/>
  <c r="M504" i="13"/>
  <c r="M505" i="13"/>
  <c r="M506" i="13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M208" i="11"/>
  <c r="M209" i="11"/>
  <c r="M210" i="11"/>
  <c r="M211" i="11"/>
  <c r="M212" i="11"/>
  <c r="M213" i="11"/>
  <c r="M214" i="11"/>
  <c r="M215" i="11"/>
  <c r="M216" i="11"/>
  <c r="M217" i="11"/>
  <c r="M218" i="11"/>
  <c r="M219" i="11"/>
  <c r="M220" i="11"/>
  <c r="M221" i="11"/>
  <c r="M222" i="11"/>
  <c r="M223" i="11"/>
  <c r="M224" i="11"/>
  <c r="M225" i="11"/>
  <c r="M226" i="11"/>
  <c r="M227" i="11"/>
  <c r="M228" i="11"/>
  <c r="M229" i="11"/>
  <c r="M230" i="11"/>
  <c r="M231" i="11"/>
  <c r="M232" i="11"/>
  <c r="M233" i="11"/>
  <c r="M234" i="11"/>
  <c r="M235" i="11"/>
  <c r="M236" i="11"/>
  <c r="M237" i="11"/>
  <c r="M238" i="11"/>
  <c r="M239" i="11"/>
  <c r="M240" i="11"/>
  <c r="M241" i="11"/>
  <c r="M242" i="11"/>
  <c r="M243" i="11"/>
  <c r="M244" i="11"/>
  <c r="M245" i="11"/>
  <c r="M246" i="11"/>
  <c r="M247" i="11"/>
  <c r="M248" i="11"/>
  <c r="M249" i="11"/>
  <c r="M250" i="11"/>
  <c r="M251" i="11"/>
  <c r="M252" i="11"/>
  <c r="M253" i="11"/>
  <c r="M254" i="11"/>
  <c r="M255" i="11"/>
  <c r="M256" i="11"/>
  <c r="M257" i="11"/>
  <c r="M258" i="11"/>
  <c r="M259" i="11"/>
  <c r="M260" i="11"/>
  <c r="M261" i="11"/>
  <c r="M262" i="11"/>
  <c r="M263" i="11"/>
  <c r="M264" i="11"/>
  <c r="M265" i="11"/>
  <c r="M266" i="11"/>
  <c r="M267" i="11"/>
  <c r="M268" i="11"/>
  <c r="M269" i="11"/>
  <c r="M270" i="11"/>
  <c r="M271" i="11"/>
  <c r="M272" i="11"/>
  <c r="M273" i="11"/>
  <c r="M274" i="11"/>
  <c r="M275" i="11"/>
  <c r="M276" i="11"/>
  <c r="M277" i="11"/>
  <c r="M278" i="11"/>
  <c r="M279" i="11"/>
  <c r="M280" i="11"/>
  <c r="M281" i="11"/>
  <c r="M282" i="11"/>
  <c r="M283" i="11"/>
  <c r="M284" i="11"/>
  <c r="M285" i="11"/>
  <c r="M286" i="11"/>
  <c r="M287" i="11"/>
  <c r="M288" i="11"/>
  <c r="M289" i="11"/>
  <c r="M290" i="11"/>
  <c r="M291" i="11"/>
  <c r="M292" i="11"/>
  <c r="M293" i="11"/>
  <c r="M294" i="11"/>
  <c r="M295" i="11"/>
  <c r="M296" i="11"/>
  <c r="M297" i="11"/>
  <c r="M298" i="11"/>
  <c r="M299" i="11"/>
  <c r="M300" i="11"/>
  <c r="M301" i="11"/>
  <c r="M302" i="11"/>
  <c r="M303" i="11"/>
  <c r="M304" i="11"/>
  <c r="M305" i="11"/>
  <c r="M306" i="11"/>
  <c r="M307" i="11"/>
  <c r="M308" i="11"/>
  <c r="M309" i="11"/>
  <c r="M310" i="11"/>
  <c r="M311" i="11"/>
  <c r="M312" i="11"/>
  <c r="M313" i="11"/>
  <c r="M314" i="11"/>
  <c r="M315" i="11"/>
  <c r="M316" i="11"/>
  <c r="M317" i="11"/>
  <c r="M318" i="11"/>
  <c r="M319" i="11"/>
  <c r="M320" i="11"/>
  <c r="M321" i="11"/>
  <c r="M322" i="11"/>
  <c r="M323" i="11"/>
  <c r="M324" i="11"/>
  <c r="M325" i="11"/>
  <c r="M326" i="11"/>
  <c r="M327" i="11"/>
  <c r="M328" i="11"/>
  <c r="M329" i="11"/>
  <c r="M330" i="11"/>
  <c r="M331" i="11"/>
  <c r="M332" i="11"/>
  <c r="M333" i="11"/>
  <c r="M334" i="11"/>
  <c r="M335" i="11"/>
  <c r="M336" i="11"/>
  <c r="M337" i="11"/>
  <c r="M338" i="11"/>
  <c r="M339" i="11"/>
  <c r="M340" i="11"/>
  <c r="M341" i="11"/>
  <c r="M342" i="11"/>
  <c r="M343" i="11"/>
  <c r="M344" i="11"/>
  <c r="M345" i="11"/>
  <c r="M346" i="11"/>
  <c r="M347" i="11"/>
  <c r="M348" i="11"/>
  <c r="M349" i="11"/>
  <c r="M350" i="11"/>
  <c r="M351" i="11"/>
  <c r="M352" i="11"/>
  <c r="M353" i="11"/>
  <c r="M354" i="11"/>
  <c r="M355" i="11"/>
  <c r="M356" i="11"/>
  <c r="M357" i="11"/>
  <c r="M358" i="11"/>
  <c r="M359" i="11"/>
  <c r="M360" i="11"/>
  <c r="M361" i="11"/>
  <c r="M362" i="11"/>
  <c r="M363" i="11"/>
  <c r="M364" i="11"/>
  <c r="M365" i="11"/>
  <c r="M366" i="11"/>
  <c r="M367" i="11"/>
  <c r="M368" i="11"/>
  <c r="M369" i="11"/>
  <c r="M370" i="11"/>
  <c r="M371" i="11"/>
  <c r="M372" i="11"/>
  <c r="M373" i="11"/>
  <c r="M374" i="11"/>
  <c r="M375" i="11"/>
  <c r="M376" i="11"/>
  <c r="M377" i="11"/>
  <c r="M378" i="11"/>
  <c r="M379" i="11"/>
  <c r="M380" i="11"/>
  <c r="M381" i="11"/>
  <c r="M382" i="11"/>
  <c r="M383" i="11"/>
  <c r="M384" i="11"/>
  <c r="M385" i="11"/>
  <c r="M386" i="11"/>
  <c r="M387" i="11"/>
  <c r="M388" i="11"/>
  <c r="M389" i="11"/>
  <c r="M390" i="11"/>
  <c r="M391" i="11"/>
  <c r="M392" i="11"/>
  <c r="M393" i="11"/>
  <c r="M394" i="11"/>
  <c r="M395" i="11"/>
  <c r="M396" i="11"/>
  <c r="M397" i="11"/>
  <c r="M398" i="11"/>
  <c r="M399" i="11"/>
  <c r="M400" i="11"/>
  <c r="M401" i="11"/>
  <c r="M402" i="11"/>
  <c r="M403" i="11"/>
  <c r="M404" i="11"/>
  <c r="M405" i="11"/>
  <c r="M406" i="11"/>
  <c r="M407" i="11"/>
  <c r="M408" i="11"/>
  <c r="M409" i="11"/>
  <c r="M410" i="11"/>
  <c r="M411" i="11"/>
  <c r="M412" i="11"/>
  <c r="M413" i="11"/>
  <c r="M414" i="11"/>
  <c r="M415" i="11"/>
  <c r="M416" i="11"/>
  <c r="M417" i="11"/>
  <c r="M418" i="11"/>
  <c r="M419" i="11"/>
  <c r="M420" i="11"/>
  <c r="M421" i="11"/>
  <c r="M422" i="11"/>
  <c r="M423" i="11"/>
  <c r="M424" i="11"/>
  <c r="M425" i="11"/>
  <c r="M426" i="11"/>
  <c r="M427" i="11"/>
  <c r="M428" i="11"/>
  <c r="M429" i="11"/>
  <c r="M430" i="11"/>
  <c r="M431" i="11"/>
  <c r="M432" i="11"/>
  <c r="M433" i="11"/>
  <c r="M434" i="11"/>
  <c r="M435" i="11"/>
  <c r="M436" i="11"/>
  <c r="M437" i="11"/>
  <c r="M438" i="11"/>
  <c r="M439" i="11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0" i="10"/>
  <c r="M251" i="10"/>
  <c r="M252" i="10"/>
  <c r="M253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0" i="10"/>
  <c r="M271" i="10"/>
  <c r="M272" i="10"/>
  <c r="M273" i="10"/>
  <c r="M274" i="10"/>
  <c r="M275" i="10"/>
  <c r="M276" i="10"/>
  <c r="M277" i="10"/>
  <c r="M278" i="10"/>
  <c r="M279" i="10"/>
  <c r="M280" i="10"/>
  <c r="M281" i="10"/>
  <c r="M282" i="10"/>
  <c r="M283" i="10"/>
  <c r="M284" i="10"/>
  <c r="M285" i="10"/>
  <c r="M286" i="10"/>
  <c r="M287" i="10"/>
  <c r="M288" i="10"/>
  <c r="M289" i="10"/>
  <c r="M290" i="10"/>
  <c r="M291" i="10"/>
  <c r="M292" i="10"/>
  <c r="M293" i="10"/>
  <c r="M294" i="10"/>
  <c r="M295" i="10"/>
  <c r="M296" i="10"/>
  <c r="M297" i="10"/>
  <c r="M298" i="10"/>
  <c r="M299" i="10"/>
  <c r="M300" i="10"/>
  <c r="M301" i="10"/>
  <c r="M302" i="10"/>
  <c r="M303" i="10"/>
  <c r="M304" i="10"/>
  <c r="M305" i="10"/>
  <c r="M306" i="10"/>
  <c r="M307" i="10"/>
  <c r="M308" i="10"/>
  <c r="M309" i="10"/>
  <c r="M310" i="10"/>
  <c r="M311" i="10"/>
  <c r="M312" i="10"/>
  <c r="M313" i="10"/>
  <c r="M314" i="10"/>
  <c r="M315" i="10"/>
  <c r="M316" i="10"/>
  <c r="M317" i="10"/>
  <c r="M318" i="10"/>
  <c r="M319" i="10"/>
  <c r="M320" i="10"/>
  <c r="M321" i="10"/>
  <c r="M322" i="10"/>
  <c r="M323" i="10"/>
  <c r="M324" i="10"/>
  <c r="M325" i="10"/>
  <c r="M326" i="10"/>
  <c r="M327" i="10"/>
  <c r="M328" i="10"/>
  <c r="M329" i="10"/>
  <c r="M330" i="10"/>
  <c r="M331" i="10"/>
  <c r="M332" i="10"/>
  <c r="M333" i="10"/>
  <c r="M334" i="10"/>
  <c r="M335" i="10"/>
  <c r="M336" i="10"/>
  <c r="M337" i="10"/>
  <c r="M338" i="10"/>
  <c r="M339" i="10"/>
  <c r="M340" i="10"/>
  <c r="M341" i="10"/>
  <c r="M342" i="10"/>
  <c r="M343" i="10"/>
  <c r="M344" i="10"/>
  <c r="M345" i="10"/>
  <c r="M346" i="10"/>
  <c r="M347" i="10"/>
  <c r="M348" i="10"/>
  <c r="M349" i="10"/>
  <c r="M350" i="10"/>
  <c r="M351" i="10"/>
  <c r="M352" i="10"/>
  <c r="M353" i="10"/>
  <c r="M354" i="10"/>
  <c r="M355" i="10"/>
  <c r="M356" i="10"/>
  <c r="M357" i="10"/>
  <c r="M358" i="10"/>
  <c r="M359" i="10"/>
  <c r="M360" i="10"/>
  <c r="M361" i="10"/>
  <c r="M362" i="10"/>
  <c r="M363" i="10"/>
  <c r="M364" i="10"/>
  <c r="M365" i="10"/>
  <c r="M366" i="10"/>
  <c r="M367" i="10"/>
  <c r="M368" i="10"/>
  <c r="M369" i="10"/>
  <c r="M370" i="10"/>
  <c r="M371" i="10"/>
  <c r="M372" i="10"/>
  <c r="M373" i="10"/>
  <c r="M374" i="10"/>
  <c r="M375" i="10"/>
  <c r="M376" i="10"/>
  <c r="M377" i="10"/>
  <c r="M378" i="10"/>
  <c r="M379" i="10"/>
  <c r="M380" i="10"/>
  <c r="M381" i="10"/>
  <c r="M382" i="10"/>
  <c r="M383" i="10"/>
  <c r="M384" i="10"/>
  <c r="M385" i="10"/>
  <c r="M386" i="10"/>
  <c r="M387" i="10"/>
  <c r="M388" i="10"/>
  <c r="M389" i="10"/>
  <c r="M390" i="10"/>
  <c r="M391" i="10"/>
  <c r="M392" i="10"/>
  <c r="M393" i="10"/>
  <c r="M394" i="10"/>
  <c r="M395" i="10"/>
  <c r="M396" i="10"/>
  <c r="M397" i="10"/>
  <c r="M398" i="10"/>
  <c r="M399" i="10"/>
  <c r="M400" i="10"/>
  <c r="M401" i="10"/>
  <c r="M402" i="10"/>
  <c r="M403" i="10"/>
  <c r="M404" i="10"/>
  <c r="M405" i="10"/>
  <c r="M406" i="10"/>
  <c r="M407" i="10"/>
  <c r="M408" i="10"/>
  <c r="M409" i="10"/>
  <c r="M410" i="10"/>
  <c r="M411" i="10"/>
  <c r="M412" i="10"/>
  <c r="M413" i="10"/>
  <c r="M414" i="10"/>
  <c r="M415" i="10"/>
  <c r="M416" i="10"/>
  <c r="M417" i="10"/>
  <c r="M418" i="10"/>
  <c r="M419" i="10"/>
  <c r="M420" i="10"/>
  <c r="M421" i="10"/>
  <c r="M422" i="10"/>
  <c r="M423" i="10"/>
  <c r="M424" i="10"/>
  <c r="M425" i="10"/>
  <c r="M426" i="10"/>
  <c r="M427" i="10"/>
  <c r="M428" i="10"/>
  <c r="M429" i="10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66" i="8"/>
  <c r="N267" i="8"/>
  <c r="N268" i="8"/>
  <c r="N269" i="8"/>
  <c r="N270" i="8"/>
  <c r="N271" i="8"/>
  <c r="N272" i="8"/>
  <c r="N273" i="8"/>
  <c r="N274" i="8"/>
  <c r="N275" i="8"/>
  <c r="N276" i="8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N9" i="5" l="1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K9" i="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I15" i="1"/>
  <c r="J15" i="1"/>
  <c r="H15" i="1"/>
</calcChain>
</file>

<file path=xl/sharedStrings.xml><?xml version="1.0" encoding="utf-8"?>
<sst xmlns="http://schemas.openxmlformats.org/spreadsheetml/2006/main" count="34270" uniqueCount="10366">
  <si>
    <t>DISCOUNT</t>
  </si>
  <si>
    <t>YOU SAVED</t>
  </si>
  <si>
    <t>LOCATION</t>
  </si>
  <si>
    <t>LOT #</t>
  </si>
  <si>
    <t># OF BOL</t>
  </si>
  <si>
    <t>CATEGORY</t>
  </si>
  <si>
    <t>SEASON CODE</t>
  </si>
  <si>
    <t># OF PALLETS</t>
  </si>
  <si>
    <t>ORIGINAL COST</t>
  </si>
  <si>
    <t>ORIGINAL RETAIL</t>
  </si>
  <si>
    <t># OF UNITS</t>
  </si>
  <si>
    <t>WOMENS BETTER APPAREL</t>
  </si>
  <si>
    <t>PRIMARILY SPRING AND SUMMER</t>
  </si>
  <si>
    <t>Note: '*' Signifies Merged Lots</t>
  </si>
  <si>
    <t>MD</t>
  </si>
  <si>
    <t>CHAMPION/HANESBRANDS INC</t>
  </si>
  <si>
    <t>CHAMPION/HANS</t>
  </si>
  <si>
    <t>A OR SMALL</t>
  </si>
  <si>
    <t>DARKPURPLE</t>
  </si>
  <si>
    <t>GT18H586958</t>
  </si>
  <si>
    <t>Champion Womens The Classic Logo T-Shi Dark Berry Purple S</t>
  </si>
  <si>
    <t>194959218934</t>
  </si>
  <si>
    <t>XS NO CUP</t>
  </si>
  <si>
    <t>WHITE</t>
  </si>
  <si>
    <t>GT18H586921</t>
  </si>
  <si>
    <t>Champion Womens Classic USA-Graphic T- White XS</t>
  </si>
  <si>
    <t>194959356308</t>
  </si>
  <si>
    <t>2XL</t>
  </si>
  <si>
    <t>NAVY</t>
  </si>
  <si>
    <t>W5950C586544</t>
  </si>
  <si>
    <t>Champion Womens Cotton Cropped T-Shirt Deep Forte Blue XXL</t>
  </si>
  <si>
    <t>77478995022</t>
  </si>
  <si>
    <t>CALVIN KLEIN/G-III APPAREL GROUP</t>
  </si>
  <si>
    <t>PETITE CAREER</t>
  </si>
  <si>
    <t>XL PETITE</t>
  </si>
  <si>
    <t>LT/PASPINK</t>
  </si>
  <si>
    <t>T17CM76C</t>
  </si>
  <si>
    <t>Calvin Klein Petite Printed Pleat-Neck Top Blush Multi PXL</t>
  </si>
  <si>
    <t>195841738479</t>
  </si>
  <si>
    <t>Calvin Klein Petite Printed Pleat-Neck Top Blush Multi PL</t>
  </si>
  <si>
    <t>195841738486</t>
  </si>
  <si>
    <t>TOMMY HILFIGER JEANS/G-III APPAREL</t>
  </si>
  <si>
    <t>TOMMY JEANS</t>
  </si>
  <si>
    <t>XXS</t>
  </si>
  <si>
    <t>LT BEIGE</t>
  </si>
  <si>
    <t>T0CWPFAI</t>
  </si>
  <si>
    <t>Tommy Jeans Floral Ruffle Shorts Khaki Combo XXS</t>
  </si>
  <si>
    <t>190607313730</t>
  </si>
  <si>
    <t>GUESS INC</t>
  </si>
  <si>
    <t>GUESS</t>
  </si>
  <si>
    <t>X LARGE</t>
  </si>
  <si>
    <t>BLACK</t>
  </si>
  <si>
    <t>W1YP38RAQS0</t>
  </si>
  <si>
    <t>GUESS Cotton Pique Polo Top Jet Black A996 XL</t>
  </si>
  <si>
    <t>195124306463</t>
  </si>
  <si>
    <t>TOMMY HILFIGER SPORT/G-III APPAREL</t>
  </si>
  <si>
    <t>TOMY HIL SPRT</t>
  </si>
  <si>
    <t>XS</t>
  </si>
  <si>
    <t>BLUE</t>
  </si>
  <si>
    <t>TP18315Z</t>
  </si>
  <si>
    <t>Tommy Hilfiger Colorblocked T-Shirt Dress Deep Blue XS</t>
  </si>
  <si>
    <t>195105737491</t>
  </si>
  <si>
    <t>LARGE</t>
  </si>
  <si>
    <t>MEDIUM RED</t>
  </si>
  <si>
    <t>TP16458P</t>
  </si>
  <si>
    <t>Tommy Hilfiger Jogging Pants Rich Red L</t>
  </si>
  <si>
    <t>195105606094</t>
  </si>
  <si>
    <t>TOMMY HILFIGER/G-III APPAREL GROUP</t>
  </si>
  <si>
    <t>T HILFIG MISS</t>
  </si>
  <si>
    <t>M</t>
  </si>
  <si>
    <t>DARK RED</t>
  </si>
  <si>
    <t>J1XS0583</t>
  </si>
  <si>
    <t>Tommy Hilfiger Cotton Button-Trim Turtleneck Crimson M</t>
  </si>
  <si>
    <t>195105581957</t>
  </si>
  <si>
    <t>S</t>
  </si>
  <si>
    <t>DARK GREEN</t>
  </si>
  <si>
    <t>J1XS0168</t>
  </si>
  <si>
    <t>Tommy Hilfiger Ivy Cotton Cable Sweater Forest S</t>
  </si>
  <si>
    <t>195105586846</t>
  </si>
  <si>
    <t>SUNDOWN BY SPLENDID/SPLENDID &amp; ELLA</t>
  </si>
  <si>
    <t>FREESTYL COLL</t>
  </si>
  <si>
    <t>BRIGHT RED</t>
  </si>
  <si>
    <t>RDF144I</t>
  </si>
  <si>
    <t>Splendid Joey Hoodie Red Multi S</t>
  </si>
  <si>
    <t>193666859713</t>
  </si>
  <si>
    <t>MED PINK</t>
  </si>
  <si>
    <t>T0EKHFAC</t>
  </si>
  <si>
    <t>Tommy Jeans Mid-Rise Tie-Dyed Skinny Jeans Pink 28</t>
  </si>
  <si>
    <t>190607207251</t>
  </si>
  <si>
    <t>Tommy Jeans Mid-Rise Tie-Dyed Skinny Jeans Pink 31</t>
  </si>
  <si>
    <t>190607207220</t>
  </si>
  <si>
    <t>GRAY</t>
  </si>
  <si>
    <t>T1AE0DBH</t>
  </si>
  <si>
    <t>Tommy Jeans Logo Zip Hoodie Stone Grey Heather L</t>
  </si>
  <si>
    <t>195105813041</t>
  </si>
  <si>
    <t>TOMMY HILFIGER USA INC</t>
  </si>
  <si>
    <t>4</t>
  </si>
  <si>
    <t>BEIGEKHAKI</t>
  </si>
  <si>
    <t>76J1665</t>
  </si>
  <si>
    <t>Tommy Hilfiger Womens Belted Shorts Oatmeal 4</t>
  </si>
  <si>
    <t>8763906850</t>
  </si>
  <si>
    <t>B OR MED</t>
  </si>
  <si>
    <t>W1YH20R3IX1</t>
  </si>
  <si>
    <t>GUESS Aricela Striped Button-Front T Couples Stripe Print Pink M</t>
  </si>
  <si>
    <t>195124298287</t>
  </si>
  <si>
    <t>CALVIN KLEIN WMS/G-III APPAREL GRP</t>
  </si>
  <si>
    <t>CK COLECTN MS</t>
  </si>
  <si>
    <t>M1VKD297</t>
  </si>
  <si>
    <t>Calvin Klein Faux-Suede-Front Pull-On Pants Black L</t>
  </si>
  <si>
    <t>195841605894</t>
  </si>
  <si>
    <t>CECE/BERNARD CHAUS INC</t>
  </si>
  <si>
    <t>CONTEMPCOLLEC</t>
  </si>
  <si>
    <t>CeCe Printed Ruffled-Sleeve Knit Dr Rich Black L</t>
  </si>
  <si>
    <t>193768648307</t>
  </si>
  <si>
    <t>ANNE KLEIN/KASPER GROUP LLC</t>
  </si>
  <si>
    <t>BTR TRND DRES</t>
  </si>
  <si>
    <t>10</t>
  </si>
  <si>
    <t>Anne Klein The Donna Sheath Dress Juniper 10</t>
  </si>
  <si>
    <t>93488427223</t>
  </si>
  <si>
    <t>AK ANNE KLEIN/KASPER GROUP LLC</t>
  </si>
  <si>
    <t>AK ANNE KLEIN</t>
  </si>
  <si>
    <t>Anne Klein Charmeuse Nehru Tunic Elderberry L</t>
  </si>
  <si>
    <t>93488838364</t>
  </si>
  <si>
    <t>S/M</t>
  </si>
  <si>
    <t>ESPRESSO</t>
  </si>
  <si>
    <t>M1XSK730</t>
  </si>
  <si>
    <t>MARL STRIPE RUANA</t>
  </si>
  <si>
    <t>195841847430</t>
  </si>
  <si>
    <t>1 STATE/BERNARD CHAUS INC</t>
  </si>
  <si>
    <t>CONTMP CLASSI</t>
  </si>
  <si>
    <t>1.STATE 1.STATE Long Sleeve Square Nec Silver Heather M</t>
  </si>
  <si>
    <t>194288305985</t>
  </si>
  <si>
    <t>SPLENDID/DELTA GALIL USA INC</t>
  </si>
  <si>
    <t>DES IMP/AD CL</t>
  </si>
  <si>
    <t>RF1A790</t>
  </si>
  <si>
    <t>Splendid Drawstring Joggers V Olv Brn L</t>
  </si>
  <si>
    <t>193666870169</t>
  </si>
  <si>
    <t>VINCE CAMUTO/BERNARD CHAUS</t>
  </si>
  <si>
    <t>VIP COLL PLUS</t>
  </si>
  <si>
    <t>1X</t>
  </si>
  <si>
    <t>ORANGE</t>
  </si>
  <si>
    <t>Vince Camuto Plus Size Flutter-Sleeve Top Vermillion 1X</t>
  </si>
  <si>
    <t>194288363299</t>
  </si>
  <si>
    <t>KASPER GROUP LLC</t>
  </si>
  <si>
    <t>MISSY CAREER</t>
  </si>
  <si>
    <t>JACKET - FIRE RED MULTI</t>
  </si>
  <si>
    <t>93488547259</t>
  </si>
  <si>
    <t>7 FOR ALL MANKIND/V F CORPORATION</t>
  </si>
  <si>
    <t>PRMDNM/CASCOL</t>
  </si>
  <si>
    <t>DARK PINK</t>
  </si>
  <si>
    <t>7U000352</t>
  </si>
  <si>
    <t>7 For All Mankind Floral-Print High-Rise Jeans Pink Tie Dye Tps 29</t>
  </si>
  <si>
    <t>190392943471</t>
  </si>
  <si>
    <t>EILEEN FISHER</t>
  </si>
  <si>
    <t>S1OLA-T5728M</t>
  </si>
  <si>
    <t>Eileen Fisher Organic Mandarin Collar Shirt White M</t>
  </si>
  <si>
    <t>193481655743</t>
  </si>
  <si>
    <t>MAXMARA WEEKEND/MAXMARA USA INC</t>
  </si>
  <si>
    <t>MODERN DESIGN</t>
  </si>
  <si>
    <t>Weekend Max Mara Brigida Turtleneck Sweater Vaniglia XXL</t>
  </si>
  <si>
    <t>8050994103470</t>
  </si>
  <si>
    <t>GT18H586956</t>
  </si>
  <si>
    <t>Champion Womens Celestial Circle Logo Pink XS</t>
  </si>
  <si>
    <t>194959320675</t>
  </si>
  <si>
    <t>DARK GRAY</t>
  </si>
  <si>
    <t>GT18H586953</t>
  </si>
  <si>
    <t>Champion Womens Get Happy Logo T-Shirt Grey XXL</t>
  </si>
  <si>
    <t>194959260711</t>
  </si>
  <si>
    <t>Champion Womens Get Happy Logo T-Shirt Grey XS</t>
  </si>
  <si>
    <t>194959260667</t>
  </si>
  <si>
    <t>Champion Womens Get Happy Logo T-Shirt Black M</t>
  </si>
  <si>
    <t>194959260469</t>
  </si>
  <si>
    <t>GT18H586957</t>
  </si>
  <si>
    <t>Champion Womens Celestial Hands T-Shir Grey XS</t>
  </si>
  <si>
    <t>194959262203</t>
  </si>
  <si>
    <t>W5950G586972</t>
  </si>
  <si>
    <t>Champion Womens Cropped Graphic-Print Seven Seas Blue XXL</t>
  </si>
  <si>
    <t>194959259838</t>
  </si>
  <si>
    <t>Champion Womens Cropped Graphic-Print Natural XXL</t>
  </si>
  <si>
    <t>194959259777</t>
  </si>
  <si>
    <t>W5950G586788</t>
  </si>
  <si>
    <t>Champion Womens Celestial Cropped T-Sh Red XS</t>
  </si>
  <si>
    <t>194959321979</t>
  </si>
  <si>
    <t>MADDEN GIRL/TURN ON PRODUCTS INC</t>
  </si>
  <si>
    <t>MGKT1043A</t>
  </si>
  <si>
    <t>Madden Girl Juniors Cap-Sleeve Polo Top Black XXL</t>
  </si>
  <si>
    <t>193290750967</t>
  </si>
  <si>
    <t>DICKIES GIRL/JERRY LEIGH</t>
  </si>
  <si>
    <t>J3001JRD1531A</t>
  </si>
  <si>
    <t>Dickies Logo Tomboy T-Shirt White S</t>
  </si>
  <si>
    <t>792831374244</t>
  </si>
  <si>
    <t>T1CH0CBD</t>
  </si>
  <si>
    <t>Tommy Jeans Cotton Linear Logo T-Shirt Black L</t>
  </si>
  <si>
    <t>195105710128</t>
  </si>
  <si>
    <t>T1EH0CCA</t>
  </si>
  <si>
    <t>Tommy Jeans Cotton Multi-Color Linear Logo Bright White L</t>
  </si>
  <si>
    <t>195105699881</t>
  </si>
  <si>
    <t>XL</t>
  </si>
  <si>
    <t>LT/PAS RED</t>
  </si>
  <si>
    <t>T1EH0CBZ</t>
  </si>
  <si>
    <t>Tommy Jeans Fused Logo Bandeau Top Rouge Multi XL</t>
  </si>
  <si>
    <t>195105699485</t>
  </si>
  <si>
    <t>Calvin Klein Petite Printed Pleat-Neck Top Blush Multi PS</t>
  </si>
  <si>
    <t>195841738509</t>
  </si>
  <si>
    <t>Calvin Klein Petite Printed Pleat-Neck Top Blush Multi PM</t>
  </si>
  <si>
    <t>195841738493</t>
  </si>
  <si>
    <t>PINK</t>
  </si>
  <si>
    <t>TP18810S</t>
  </si>
  <si>
    <t>Tommy Hilfiger Relaxed-Fit Running Shorts Fuchsia Pink XL</t>
  </si>
  <si>
    <t>195105704516</t>
  </si>
  <si>
    <t>J1CH0401</t>
  </si>
  <si>
    <t>Tommy Hilfiger Polo Shirt Porcelain XL</t>
  </si>
  <si>
    <t>195105754580</t>
  </si>
  <si>
    <t>TP00006T</t>
  </si>
  <si>
    <t>Tommy Hilfiger Womens Knotted Tank Top Scarlet M</t>
  </si>
  <si>
    <t>190607160006</t>
  </si>
  <si>
    <t>BRIGHTBLUE</t>
  </si>
  <si>
    <t>O1GA21K8HM0</t>
  </si>
  <si>
    <t>GUESS Cropped Logo Cotton T-Shirt Skyline Light Blue L</t>
  </si>
  <si>
    <t>7620207296650</t>
  </si>
  <si>
    <t>W0GI64R9I50</t>
  </si>
  <si>
    <t>GUESS Logo Baby T-Shirt Black And White Combo XS</t>
  </si>
  <si>
    <t>195124091222</t>
  </si>
  <si>
    <t>J1XH7404</t>
  </si>
  <si>
    <t>Tommy Hilfiger Fleece Zippered-Neck Sweatshir Soft Ivory L</t>
  </si>
  <si>
    <t>195105565100</t>
  </si>
  <si>
    <t>W5687S</t>
  </si>
  <si>
    <t>Champion Semi-Sheer Racerback Tank Top White M</t>
  </si>
  <si>
    <t>77478992106</t>
  </si>
  <si>
    <t>M1DHW070</t>
  </si>
  <si>
    <t>Calvin Klein Logo-Print T-Shirt Black XL</t>
  </si>
  <si>
    <t>195046076055</t>
  </si>
  <si>
    <t>M1TH0807</t>
  </si>
  <si>
    <t>Calvin Klein Cap Sleeve Henley Heather Granite M</t>
  </si>
  <si>
    <t>195046384259</t>
  </si>
  <si>
    <t>Calvin Klein Cap Sleeve Henley Heather Granite L</t>
  </si>
  <si>
    <t>195046384242</t>
  </si>
  <si>
    <t>BROWN</t>
  </si>
  <si>
    <t>J0JH7404</t>
  </si>
  <si>
    <t>Tommy Hilfiger Fuzzy Zip-Up Sweatshirt Lt Fawn M</t>
  </si>
  <si>
    <t>195105863800</t>
  </si>
  <si>
    <t>Anne Klein Bohemian Clover Printed V-Neck Anne Black Combo L</t>
  </si>
  <si>
    <t>93488348085</t>
  </si>
  <si>
    <t>T1FH0BIE</t>
  </si>
  <si>
    <t>Tommy Jeans Tommy Jeans Flag Logo Bodysuit Stone Grey Heather L</t>
  </si>
  <si>
    <t>195105698280</t>
  </si>
  <si>
    <t>Tommy Jeans Tommy Jeans Flag Logo Bodysuit Stone Grey Heather XL</t>
  </si>
  <si>
    <t>195105698273</t>
  </si>
  <si>
    <t>T0GH0ZCG</t>
  </si>
  <si>
    <t>Tommy Jeans Flag Logo Graphic Sweatshirt Bright White XL</t>
  </si>
  <si>
    <t>195105882825</t>
  </si>
  <si>
    <t>TP10776T</t>
  </si>
  <si>
    <t>Tommy Hilfiger Printed Racerback Sports Bra Asphalt L</t>
  </si>
  <si>
    <t>195105612453</t>
  </si>
  <si>
    <t>O1YA42ZZ04M</t>
  </si>
  <si>
    <t>GUESS Alma Seamless Bike Shorts Light Matcha Melange XSS</t>
  </si>
  <si>
    <t>7620207505769</t>
  </si>
  <si>
    <t>T1EW0DBA</t>
  </si>
  <si>
    <t>Tommy Jeans Contrast-Hem Shorts Bright White L</t>
  </si>
  <si>
    <t>195105700006</t>
  </si>
  <si>
    <t>T1BD0BAC</t>
  </si>
  <si>
    <t>Tommy Jeans Short-Sleeve Logo Crewneck Dre Scarlet M</t>
  </si>
  <si>
    <t>195105813225</t>
  </si>
  <si>
    <t>DARK BEIGE</t>
  </si>
  <si>
    <t>MGDR1001A</t>
  </si>
  <si>
    <t>Madden Girl Juniors Printed Smocked Dress Ivory XL</t>
  </si>
  <si>
    <t>193290688499</t>
  </si>
  <si>
    <t>ACT LSTY PLUS</t>
  </si>
  <si>
    <t>PF2X8677</t>
  </si>
  <si>
    <t>Calvin Klein Plus Size Logo High-Waisted Sh Black 1X</t>
  </si>
  <si>
    <t>195841158123</t>
  </si>
  <si>
    <t>2X</t>
  </si>
  <si>
    <t>SILVER</t>
  </si>
  <si>
    <t>PF1X0109</t>
  </si>
  <si>
    <t>Calvin Klein Plus Size Outline Logo Ruched Pearl Grey Heather 2X</t>
  </si>
  <si>
    <t>195046154869</t>
  </si>
  <si>
    <t>PF1X0169</t>
  </si>
  <si>
    <t>Calvin Klein Plus Size Logo-Print T-Shirt Black 2X</t>
  </si>
  <si>
    <t>195841932693</t>
  </si>
  <si>
    <t>W5952P586548</t>
  </si>
  <si>
    <t>Champion Womens Printed Crop Top Organic Floral Black XS</t>
  </si>
  <si>
    <t>77478982459</t>
  </si>
  <si>
    <t>MED BLUE</t>
  </si>
  <si>
    <t>TP00033T</t>
  </si>
  <si>
    <t>Tommy Hilfiger Womens Twisted T-Shirt Marine Blue M</t>
  </si>
  <si>
    <t>195105679319</t>
  </si>
  <si>
    <t>TP07178K</t>
  </si>
  <si>
    <t>Tommy Hilfiger Logo Mini Skirt Scarlet XS</t>
  </si>
  <si>
    <t>190607330010</t>
  </si>
  <si>
    <t>Tommy Hilfiger Logo Mini Skirt White Stone Heather XS</t>
  </si>
  <si>
    <t>190607441747</t>
  </si>
  <si>
    <t>Tommy Hilfiger Womens Twisted T-Shirt Deep Blue XS</t>
  </si>
  <si>
    <t>190607161263</t>
  </si>
  <si>
    <t>RILEY &amp; RAE/BERNARD CHAUS INC</t>
  </si>
  <si>
    <t>Riley Rae Amber Sun Tropical-Print Short Ruby Blush S</t>
  </si>
  <si>
    <t>195203796888</t>
  </si>
  <si>
    <t>Riley Rae Maybelle Blouse Rich Black XXS</t>
  </si>
  <si>
    <t>195203325460</t>
  </si>
  <si>
    <t>Riley Rae Maybelle Blouse Rich Black S</t>
  </si>
  <si>
    <t>195203325484</t>
  </si>
  <si>
    <t>Riley Rae Maybelle Blouse Rich Black L</t>
  </si>
  <si>
    <t>195203325507</t>
  </si>
  <si>
    <t>W1YI0HKARO0</t>
  </si>
  <si>
    <t>GUESS Corinne Cotton Graphic T-Shirt Heather Ivory L</t>
  </si>
  <si>
    <t>7620207159023</t>
  </si>
  <si>
    <t>O1YA03MC03W</t>
  </si>
  <si>
    <t>GUESS Avril Tank Top Skyline Light Blue L</t>
  </si>
  <si>
    <t>7618483940893</t>
  </si>
  <si>
    <t>GUESS Avril Tank Top Skyline Light Blue XL</t>
  </si>
  <si>
    <t>7618483940909</t>
  </si>
  <si>
    <t>M1TH7089</t>
  </si>
  <si>
    <t>Calvin Klein Knit Logo-Bar Top Black XS</t>
  </si>
  <si>
    <t>195046120376</t>
  </si>
  <si>
    <t>2XL NO CUP</t>
  </si>
  <si>
    <t>Riley Rae Iris Puff-Shoulder Blouse Soft Ecru XXL</t>
  </si>
  <si>
    <t>195203510262</t>
  </si>
  <si>
    <t>Riley Rae Iris Puff-Shoulder Blouse Soft Ecru S</t>
  </si>
  <si>
    <t>195203510224</t>
  </si>
  <si>
    <t>WL144586389</t>
  </si>
  <si>
    <t>Champion Cotton Logo T-Shirt White XS</t>
  </si>
  <si>
    <t>77478986198</t>
  </si>
  <si>
    <t>WL956P551260</t>
  </si>
  <si>
    <t>Champion Heritage Printed Cropped T-Shi Text Stripe White Tinted Lav XS</t>
  </si>
  <si>
    <t>77478919639</t>
  </si>
  <si>
    <t>T1CW2FHF</t>
  </si>
  <si>
    <t>Tommy Jeans Chambray Drawstring Shorts Light Wash M</t>
  </si>
  <si>
    <t>195105762998</t>
  </si>
  <si>
    <t>O0BA15MC03W</t>
  </si>
  <si>
    <t>GUESS Lace-Up Active Sports Bra Skyline Light Blue S</t>
  </si>
  <si>
    <t>7618483938777</t>
  </si>
  <si>
    <t>LT/PAS GRY</t>
  </si>
  <si>
    <t>W1YR20R2UJ0</t>
  </si>
  <si>
    <t>GUESS Sydney Lace-Up Sleeveless Swea Dark Coal Heather M98 S</t>
  </si>
  <si>
    <t>195124307088</t>
  </si>
  <si>
    <t>W1GR10R2UJ0</t>
  </si>
  <si>
    <t>GUESS Kaia Sweater Tank Top CREAM WHITE XL</t>
  </si>
  <si>
    <t>195124138668</t>
  </si>
  <si>
    <t>GUESS Lace-Up Active Sports Bra Skyline Light Blue M</t>
  </si>
  <si>
    <t>7618483938784</t>
  </si>
  <si>
    <t>MED BROWN</t>
  </si>
  <si>
    <t>O1YA22MC04A</t>
  </si>
  <si>
    <t>GUESS Alexa Active Sports Bra True Taupe XS</t>
  </si>
  <si>
    <t>7618483943511</t>
  </si>
  <si>
    <t>GUESS Cotton Polo Top Airway Blue Multi L</t>
  </si>
  <si>
    <t>195124306289</t>
  </si>
  <si>
    <t>GREEN</t>
  </si>
  <si>
    <t>W1YP0JKA2O2</t>
  </si>
  <si>
    <t>GUESS Sleeveless Gemma Top Baja Palm XL</t>
  </si>
  <si>
    <t>7620207171629</t>
  </si>
  <si>
    <t>GUESS Cotton Pique Polo Top Sunset Orange Multi M</t>
  </si>
  <si>
    <t>195124306159</t>
  </si>
  <si>
    <t>3X</t>
  </si>
  <si>
    <t>DPPP2743</t>
  </si>
  <si>
    <t>DKNY Plus Size High-Rise Jogging Pa Black Heather 3X</t>
  </si>
  <si>
    <t>794278246351</t>
  </si>
  <si>
    <t>J0BW0670</t>
  </si>
  <si>
    <t>Tommy Hilfiger Chambray Pull-On Shorts Ballerina Pink XL</t>
  </si>
  <si>
    <t>190607352166</t>
  </si>
  <si>
    <t>PLUS CAREER</t>
  </si>
  <si>
    <t>MED YELLOW</t>
  </si>
  <si>
    <t>Kasper Plus Size Printed Sleeveless S Dandelion Combo 2X</t>
  </si>
  <si>
    <t>93488779803</t>
  </si>
  <si>
    <t>J1KH0470</t>
  </si>
  <si>
    <t>Tommy Hilfiger Mock-Neck Fitted-Waist Sweatsh Blue Bonnet M</t>
  </si>
  <si>
    <t>195105412039</t>
  </si>
  <si>
    <t>TP16367P</t>
  </si>
  <si>
    <t>Tommy Hilfiger Striped Boyfriend Sweatpants Fuchsia Pink S</t>
  </si>
  <si>
    <t>195105781791</t>
  </si>
  <si>
    <t>TP18329Z</t>
  </si>
  <si>
    <t>Tommy Hilfiger Womens Striped Colorblocked D Fuchsia Pink M</t>
  </si>
  <si>
    <t>195105779309</t>
  </si>
  <si>
    <t>J1KS0335</t>
  </si>
  <si>
    <t>Tommy Hilfiger Cotton Heart-Graphic Sweater Balrna Pnk Multi XS</t>
  </si>
  <si>
    <t>195105412527</t>
  </si>
  <si>
    <t>TP07892P</t>
  </si>
  <si>
    <t>Tommy Hilfiger Womens Capri Jogger Pants White Stone Heather XL</t>
  </si>
  <si>
    <t>190607154166</t>
  </si>
  <si>
    <t>J1GH0348</t>
  </si>
  <si>
    <t>Tommy Hilfiger Double Heart Logo Boyfriend Sw Crimson Ht M</t>
  </si>
  <si>
    <t>195105496190</t>
  </si>
  <si>
    <t>GOLD</t>
  </si>
  <si>
    <t>J1KS0938</t>
  </si>
  <si>
    <t>Tommy Hilfiger Cotton Striped-Cuff Sweater Dp Maize Mlti M</t>
  </si>
  <si>
    <t>195105421413</t>
  </si>
  <si>
    <t>Tommy Hilfiger Cotton Striped-Cuff Sweater Dp Maize Mlti L</t>
  </si>
  <si>
    <t>195105421406</t>
  </si>
  <si>
    <t>Tommy Hilfiger Cotton Striped-Cuff Sweater Dp Maize Mlti S</t>
  </si>
  <si>
    <t>195105421420</t>
  </si>
  <si>
    <t>POLYESTER/SPANDEX</t>
  </si>
  <si>
    <t>IMPORTED</t>
  </si>
  <si>
    <t>TURQ/AQUA</t>
  </si>
  <si>
    <t>CeCe Ruffled-Sleeve Blouse Tropic Night XS</t>
  </si>
  <si>
    <t>193768127017</t>
  </si>
  <si>
    <t>CeCe Ruffled-Sleeve Blouse Tropic Night S</t>
  </si>
  <si>
    <t>193768127024</t>
  </si>
  <si>
    <t>CeCe Ruffled-Sleeve Blouse Tropic Night XL</t>
  </si>
  <si>
    <t>193768127055</t>
  </si>
  <si>
    <t>CeCe Ruffled-Sleeve Blouse Tropic Night M</t>
  </si>
  <si>
    <t>193768127031</t>
  </si>
  <si>
    <t>CeCe Ruffled-Sleeve Blouse Tropic Night L</t>
  </si>
  <si>
    <t>193768127048</t>
  </si>
  <si>
    <t>92319903J</t>
  </si>
  <si>
    <t>Vince Camuto Plus Size Floral Bow Tie Jumps Rich Black 3X</t>
  </si>
  <si>
    <t>195203940984</t>
  </si>
  <si>
    <t>DKNY/G-III APPAREL GROUP</t>
  </si>
  <si>
    <t>DKNY COLL/CAS</t>
  </si>
  <si>
    <t>P8JHPD40</t>
  </si>
  <si>
    <t>DKNY Star-Embellished Crewneck Top Light grey M</t>
  </si>
  <si>
    <t>802892226366</t>
  </si>
  <si>
    <t>SEVEN 7/SEVEN LICENSING CO LLC</t>
  </si>
  <si>
    <t>MY8050IN</t>
  </si>
  <si>
    <t>Seven7 Utility Joggers Taurus M</t>
  </si>
  <si>
    <t>194278259380</t>
  </si>
  <si>
    <t>MED PURPLE</t>
  </si>
  <si>
    <t>Kasper Printed Tie-Neck Sleeveless To Cerise Combo S</t>
  </si>
  <si>
    <t>93488863670</t>
  </si>
  <si>
    <t>T0GK2FDA</t>
  </si>
  <si>
    <t>Tommy Jeans Ripped Cropped Jeans Medium Wash 25</t>
  </si>
  <si>
    <t>195105891940</t>
  </si>
  <si>
    <t>SQUARE 24</t>
  </si>
  <si>
    <t>Tommy Jeans Ripped Cropped Jeans Medium Wash 24</t>
  </si>
  <si>
    <t>195105891957</t>
  </si>
  <si>
    <t>PF1X6337</t>
  </si>
  <si>
    <t>Calvin Klein Plus Size Rhinestone-Trim Legg Zebra Gunmetal 2X</t>
  </si>
  <si>
    <t>195841576057</t>
  </si>
  <si>
    <t>PF1X3976</t>
  </si>
  <si>
    <t>Calvin Klein Plus Size Tie-Dyed Pullover Sw Kensington Nu Beige 3X</t>
  </si>
  <si>
    <t>195046158195</t>
  </si>
  <si>
    <t>W1YR10R24F2</t>
  </si>
  <si>
    <t>GUESS Juniors Cora Metallic T-Back Dove White Multi XL</t>
  </si>
  <si>
    <t>195124306920</t>
  </si>
  <si>
    <t>GUESS Juniors Cora Metallic T-Back Dove White Multi M</t>
  </si>
  <si>
    <t>195124306906</t>
  </si>
  <si>
    <t>BRGHT PINK</t>
  </si>
  <si>
    <t>W1YR00R2UK0</t>
  </si>
  <si>
    <t>GUESS Eden Henley Polo Sweater Red Glen XS</t>
  </si>
  <si>
    <t>195124306647</t>
  </si>
  <si>
    <t>W1YR26R2UJ0</t>
  </si>
  <si>
    <t>GUESS Charli Cropped Oversized Polo Muted Stone S</t>
  </si>
  <si>
    <t>195124307828</t>
  </si>
  <si>
    <t>O1YA17MC03W</t>
  </si>
  <si>
    <t>GUESS Angelica Medium-Impact Sports True White A000 M</t>
  </si>
  <si>
    <t>7618483942835</t>
  </si>
  <si>
    <t>J0BK0517</t>
  </si>
  <si>
    <t>Tommy Hilfiger Cropped Drawstring Pants Bright White S</t>
  </si>
  <si>
    <t>190607352555</t>
  </si>
  <si>
    <t>TP04744J</t>
  </si>
  <si>
    <t>Tommy Hilfiger Womens Colorblocked Track Jac Heritage XL</t>
  </si>
  <si>
    <t>195105679043</t>
  </si>
  <si>
    <t>J0FMH130</t>
  </si>
  <si>
    <t>Tommy Hilfiger Patchwork-Print Off-The-Should Patchwork- ParchmentRed Dahli XXL</t>
  </si>
  <si>
    <t>190607232659</t>
  </si>
  <si>
    <t>TP00005T</t>
  </si>
  <si>
    <t>Tommy Hilfiger Womens Cropped Ombre Logo Hoo Marine Blue S</t>
  </si>
  <si>
    <t>195105680728</t>
  </si>
  <si>
    <t>J1KS0951</t>
  </si>
  <si>
    <t>Tommy Hilfiger Striped-Trim Cropped Sweater Sky Capt Multi L</t>
  </si>
  <si>
    <t>195105420744</t>
  </si>
  <si>
    <t>J1LS0960</t>
  </si>
  <si>
    <t>Tommy Hilfiger XOXO Sweater Blk Multi L</t>
  </si>
  <si>
    <t>195105410080</t>
  </si>
  <si>
    <t>J1KH0488</t>
  </si>
  <si>
    <t>Tommy Hilfiger Washed Logo Sweatshirt Sky Capt M</t>
  </si>
  <si>
    <t>195105396469</t>
  </si>
  <si>
    <t>J1LS0957</t>
  </si>
  <si>
    <t>Tommy Hilfiger Fair-Isle Heart Crewneck Sweat Hibscus Multi L</t>
  </si>
  <si>
    <t>195105387979</t>
  </si>
  <si>
    <t>J1XS0453</t>
  </si>
  <si>
    <t>Tommy Hilfiger Cashmere Fair Isle Drop-Should Scarlet S</t>
  </si>
  <si>
    <t>195105624715</t>
  </si>
  <si>
    <t>Tommy Hilfiger XOXO Sweater Blk Multi M</t>
  </si>
  <si>
    <t>195105410097</t>
  </si>
  <si>
    <t>COTTON/POLYESTER/ELASTANE</t>
  </si>
  <si>
    <t>J8AK2391</t>
  </si>
  <si>
    <t>Tommy Hilfiger Gramercy Pull-On Skinny Jeans River Blue 10</t>
  </si>
  <si>
    <t>192114967284</t>
  </si>
  <si>
    <t>Tommy Hilfiger Washed Logo Sweatshirt Sky Capt L</t>
  </si>
  <si>
    <t>195105396452</t>
  </si>
  <si>
    <t>Tommy Hilfiger Washed Logo Sweatshirt Sky Capt XL</t>
  </si>
  <si>
    <t>195105396445</t>
  </si>
  <si>
    <t>ANNE KLEIN/ONE JEANSWEAR GROUP LLC</t>
  </si>
  <si>
    <t>CASUAL COLLEC</t>
  </si>
  <si>
    <t>Anne Klein Denim and Sport Womens Tinsley T-shirt Dress Noa Stripes- Grenadine Combo Medium</t>
  </si>
  <si>
    <t>29023301048</t>
  </si>
  <si>
    <t>Anne Klein Denim and Sport Womens Tinsley T-shirt Dress Noa Stripes- Cosmos Combo Large</t>
  </si>
  <si>
    <t>29023300584</t>
  </si>
  <si>
    <t>DPPP2818</t>
  </si>
  <si>
    <t>DKNY Plus Size Icon Elastic High-Wa Black 2X</t>
  </si>
  <si>
    <t>755406923858</t>
  </si>
  <si>
    <t>Anne Klein Anne Klein Ruffle-Neck Cotton Anne White M</t>
  </si>
  <si>
    <t>93488817000</t>
  </si>
  <si>
    <t>G-III LEATHER FASHIONS/G-III CNSGN</t>
  </si>
  <si>
    <t>DKNY JEANS</t>
  </si>
  <si>
    <t>E1FHJEBK</t>
  </si>
  <si>
    <t>DKNY Jeans Cotton Studded-Logo Ombre Swea Rose Quartz XS</t>
  </si>
  <si>
    <t>794278598719</t>
  </si>
  <si>
    <t>TAHARI ASL/PACIFIC ALLIANCE MFG</t>
  </si>
  <si>
    <t>TSMU1WT307</t>
  </si>
  <si>
    <t>Tahari ASL Printed Pleated Top Black Paisley S</t>
  </si>
  <si>
    <t>635273868769</t>
  </si>
  <si>
    <t>M1XFK809</t>
  </si>
  <si>
    <t>Calvin Klein Velour Jogger Pants Heather Grey XL</t>
  </si>
  <si>
    <t>195841853387</t>
  </si>
  <si>
    <t>M1JH6840</t>
  </si>
  <si>
    <t>Calvin Klein Printed Ruffle Top Tin Combo S</t>
  </si>
  <si>
    <t>195841254443</t>
  </si>
  <si>
    <t>CeCe Bow-Detail Puff-Sleeve Blouse Sapphire Sky XS</t>
  </si>
  <si>
    <t>195203739366</t>
  </si>
  <si>
    <t>NATURAL</t>
  </si>
  <si>
    <t>CeCe Tie-Cuff Top Soft Ecru M</t>
  </si>
  <si>
    <t>195203950679</t>
  </si>
  <si>
    <t>CeCe Floral-Print Ruffled Dress Rich Black S</t>
  </si>
  <si>
    <t>195203413341</t>
  </si>
  <si>
    <t>JESSICA SIMPSON/ONE JEANSWEAR GROUP</t>
  </si>
  <si>
    <t>MED BEIGE</t>
  </si>
  <si>
    <t>Jessica Simpson Fria Tank Dress Gardeniamarble Cheetah M</t>
  </si>
  <si>
    <t>8867171253</t>
  </si>
  <si>
    <t>34X16</t>
  </si>
  <si>
    <t>J1KS0296</t>
  </si>
  <si>
    <t>Tommy Hilfiger Poncho Sweater Khk Heather LXL</t>
  </si>
  <si>
    <t>195105401972</t>
  </si>
  <si>
    <t>Tommy Hilfiger Poncho Sweater Bal Pnk SM</t>
  </si>
  <si>
    <t>195105418185</t>
  </si>
  <si>
    <t>J0CM0081</t>
  </si>
  <si>
    <t>Tommy Hilfiger Lattice-Texture Roll-Sleeve Sh Sky Captain S</t>
  </si>
  <si>
    <t>190607301393</t>
  </si>
  <si>
    <t>J1XS0623</t>
  </si>
  <si>
    <t>Tommy Hilfiger Cable-Knit Boat-Neck Sweater Sky Capt M</t>
  </si>
  <si>
    <t>195105625309</t>
  </si>
  <si>
    <t>Tommy Hilfiger Cable-Knit Boat-Neck Sweater Scarlet XL</t>
  </si>
  <si>
    <t>195105625408</t>
  </si>
  <si>
    <t>BAM BY BETSY &amp; ADAM</t>
  </si>
  <si>
    <t>BAM112</t>
  </si>
  <si>
    <t>BAM by Betsy Adam High-Rise Skinny Ankle Legging Black XS</t>
  </si>
  <si>
    <t>195170034181</t>
  </si>
  <si>
    <t>LT/PAS GRN</t>
  </si>
  <si>
    <t>Anne Klein Metallic-Threaded Long-Sleeve Grey Heathersilver M</t>
  </si>
  <si>
    <t>93488947509</t>
  </si>
  <si>
    <t>Anne Klein Cotton-Blend V-Neck Sweater Merlot XL</t>
  </si>
  <si>
    <t>93488881636</t>
  </si>
  <si>
    <t>CK WOMENS</t>
  </si>
  <si>
    <t>W1DAA554</t>
  </si>
  <si>
    <t>Calvin Klein Plus Size Crinkled Cotton Butt Opal 3X</t>
  </si>
  <si>
    <t>195046061358</t>
  </si>
  <si>
    <t>CHARCOAL</t>
  </si>
  <si>
    <t>W1YR29R2UJ0</t>
  </si>
  <si>
    <t>GUESS Charli Bermuda Sweat-Shorts Light Heather Grey Multi M</t>
  </si>
  <si>
    <t>195124308221</t>
  </si>
  <si>
    <t>POLYESTER/SPANDEX; LINING: POLYESTER</t>
  </si>
  <si>
    <t>MILLENNIAL PLUS DRESS/BYER CALIFORN</t>
  </si>
  <si>
    <t>PL MILL DRESS</t>
  </si>
  <si>
    <t>1288Q1J</t>
  </si>
  <si>
    <t>BCX Trendy Plus Size Rhinestone Bi Black 2X</t>
  </si>
  <si>
    <t>710816551862</t>
  </si>
  <si>
    <t>BAR III/KASPER GROUP LLC</t>
  </si>
  <si>
    <t>WINE</t>
  </si>
  <si>
    <t>Bar III Plus Size Animal-Jacquard Blou Malaga Red 1X</t>
  </si>
  <si>
    <t>93488998402</t>
  </si>
  <si>
    <t>YELLOW</t>
  </si>
  <si>
    <t>BAM100</t>
  </si>
  <si>
    <t>BAM by Betsy Adam Hoodie with Built-In Mask, Cre Yellow S</t>
  </si>
  <si>
    <t>195170019065</t>
  </si>
  <si>
    <t>PURPLE</t>
  </si>
  <si>
    <t>M1XSM710</t>
  </si>
  <si>
    <t>Calvin Klein Chenille Sweater Aubergine M</t>
  </si>
  <si>
    <t>195841794376</t>
  </si>
  <si>
    <t>M1JKC273</t>
  </si>
  <si>
    <t>Calvin Klein Scuba Crepe Straight-Leg Pants Black XL</t>
  </si>
  <si>
    <t>195841251718</t>
  </si>
  <si>
    <t>M1XEK847</t>
  </si>
  <si>
    <t>Calvin Klein Velour Zip-Front Sweatshirt Wi Blush XL</t>
  </si>
  <si>
    <t>195841796943</t>
  </si>
  <si>
    <t>M0VAI503</t>
  </si>
  <si>
    <t>Calvin Klein Ruffle Trim Long Sleeve Blouse Black XS</t>
  </si>
  <si>
    <t>195046656639</t>
  </si>
  <si>
    <t>DARK BLUE</t>
  </si>
  <si>
    <t>Kasper Pull-On Plaid Pants Dusk Combo L</t>
  </si>
  <si>
    <t>93488848349</t>
  </si>
  <si>
    <t>LT/PASBLUE</t>
  </si>
  <si>
    <t>81215728A2</t>
  </si>
  <si>
    <t>1.STATE 1.STATE Ruffle Hem Sleeveless Twilight Navy XSmall</t>
  </si>
  <si>
    <t>195203790657</t>
  </si>
  <si>
    <t>Kasper Plus Size Houndstooth Inverted Black 3X</t>
  </si>
  <si>
    <t>91307018904</t>
  </si>
  <si>
    <t>FRENCH CONNECTION GROUP INC</t>
  </si>
  <si>
    <t>78QSB</t>
  </si>
  <si>
    <t>French Connection Luna Cotton Waffle-Knit Elbow- Camel Mel S</t>
  </si>
  <si>
    <t>192942987171</t>
  </si>
  <si>
    <t>French Connection Luna Cotton Waffle-Knit Elbow- Camel Mel M</t>
  </si>
  <si>
    <t>192942987188</t>
  </si>
  <si>
    <t>BAM119</t>
  </si>
  <si>
    <t>BAM by Betsy Adam Side-Zip Hoodie with Removable Black S</t>
  </si>
  <si>
    <t>195170020115</t>
  </si>
  <si>
    <t>Anne Klein Button-Trim Mock-Neck Sweater TITIAN RED XL</t>
  </si>
  <si>
    <t>93488883272</t>
  </si>
  <si>
    <t>W1RH19WDDE0</t>
  </si>
  <si>
    <t>GUESS Mona Button-Front Top Ivory Bone XS</t>
  </si>
  <si>
    <t>7618483145632</t>
  </si>
  <si>
    <t>O1GA48KAMN2</t>
  </si>
  <si>
    <t>GUESS Cropped Graphic Hoodie Vintage Peony S</t>
  </si>
  <si>
    <t>7618483397581</t>
  </si>
  <si>
    <t>W1YD26RDX72</t>
  </si>
  <si>
    <t>GUESS Iris Cuffed Cargo Shorts Cream White Multi 28</t>
  </si>
  <si>
    <t>195124297297</t>
  </si>
  <si>
    <t>O1BA28MC04G</t>
  </si>
  <si>
    <t>GUESS Doreen Active Bra Bright Zaffre M</t>
  </si>
  <si>
    <t>7620207643140</t>
  </si>
  <si>
    <t>GUESS Doreen Active Bra Bright Zaffre XS</t>
  </si>
  <si>
    <t>7620207643126</t>
  </si>
  <si>
    <t>GUESS Doreen Active Bra Bright Zaffre S</t>
  </si>
  <si>
    <t>7620207643133</t>
  </si>
  <si>
    <t>M1XSS711</t>
  </si>
  <si>
    <t>Calvin Klein Quarter-Zip Sweater Heather Latte S</t>
  </si>
  <si>
    <t>195841793935</t>
  </si>
  <si>
    <t>M1JSH705</t>
  </si>
  <si>
    <t>Calvin Klein Houndstooth Sweater Htr Grnt Combo M</t>
  </si>
  <si>
    <t>195841250537</t>
  </si>
  <si>
    <t>M1JHK865</t>
  </si>
  <si>
    <t>Calvin Klein Cinch Waist Rib Knit Top Heather Granite M</t>
  </si>
  <si>
    <t>195841253088</t>
  </si>
  <si>
    <t>M1JSY701</t>
  </si>
  <si>
    <t>Calvin Klein V-Neck Logo Hood Sweater Black S</t>
  </si>
  <si>
    <t>195841250247</t>
  </si>
  <si>
    <t>LT/PAS YEL</t>
  </si>
  <si>
    <t>Calvin Klein V-Neck Logo Hood Sweater Chamois XL</t>
  </si>
  <si>
    <t>195841046741</t>
  </si>
  <si>
    <t>Calvin Klein V-Neck Logo Hood Sweater Chamois M</t>
  </si>
  <si>
    <t>195841046765</t>
  </si>
  <si>
    <t>Calvin Klein V-Neck Logo Hood Sweater Chamois S</t>
  </si>
  <si>
    <t>195841046772</t>
  </si>
  <si>
    <t>81215705J5</t>
  </si>
  <si>
    <t>1.STATE Eyelet Tiered-Hem Dress Soft Ecru L</t>
  </si>
  <si>
    <t>195203639383</t>
  </si>
  <si>
    <t>P0KOA270</t>
  </si>
  <si>
    <t>DKNY Faux-Leather-Pocket Sweater Dr Avenue Grey L</t>
  </si>
  <si>
    <t>795728845346</t>
  </si>
  <si>
    <t>95% POLYESTER/5% SPANDEX; LINING: 100% POLYESTER</t>
  </si>
  <si>
    <t>MADE IN CHINA</t>
  </si>
  <si>
    <t>P1HG8CBW</t>
  </si>
  <si>
    <t>DKNY Printed Pleated Skirt Black Camel Multi S</t>
  </si>
  <si>
    <t>794278015230</t>
  </si>
  <si>
    <t>JONES NY/KASPER GROUP LLC</t>
  </si>
  <si>
    <t>Jones New York Womens 5 Button Denim Jacket Pink Lotus Small</t>
  </si>
  <si>
    <t>91307265919</t>
  </si>
  <si>
    <t>12 P</t>
  </si>
  <si>
    <t>Kasper Petite Belted Sheath Dress Black 12P</t>
  </si>
  <si>
    <t>93488451839</t>
  </si>
  <si>
    <t>W1YA15D4F51</t>
  </si>
  <si>
    <t>GUESS Smart Collection Sexy Straight Carrie Black 27</t>
  </si>
  <si>
    <t>7620207144777</t>
  </si>
  <si>
    <t>W1YH42RE1O0</t>
  </si>
  <si>
    <t>GUESS Zuria Embroidered Eyelet Blous Pure White XL</t>
  </si>
  <si>
    <t>195124299246</t>
  </si>
  <si>
    <t>KARL LAGERFELD/G-111 APPAREL</t>
  </si>
  <si>
    <t>OTHER BTR COL</t>
  </si>
  <si>
    <t>L1HA9682</t>
  </si>
  <si>
    <t>Karl Lagerfeld Paris Diagonal Jacquard Top Soft White XS</t>
  </si>
  <si>
    <t>194775581885</t>
  </si>
  <si>
    <t>14</t>
  </si>
  <si>
    <t>M1IKD226</t>
  </si>
  <si>
    <t>Calvin Klein Faux-Suede Cropped Pants Black 14</t>
  </si>
  <si>
    <t>195841556639</t>
  </si>
  <si>
    <t>POLYESTER/ELASTANE</t>
  </si>
  <si>
    <t>Anne Klein Nomad Printed Faux-Wrap Dress Anne BlackWhite Dot Print M</t>
  </si>
  <si>
    <t>93488219378</t>
  </si>
  <si>
    <t>W0GK26R2GK1</t>
  </si>
  <si>
    <t>GUESS Engineered Ribbed Midi Dress Light Matcha XL</t>
  </si>
  <si>
    <t>195124087478</t>
  </si>
  <si>
    <t>POLYESTER/RAYON/SPANDEX; LINING: POLYESTER</t>
  </si>
  <si>
    <t>6 P</t>
  </si>
  <si>
    <t>CPE2689O</t>
  </si>
  <si>
    <t>Calvin Klein Petite Jacket, Notched Collar Navy 6P</t>
  </si>
  <si>
    <t>885719331771</t>
  </si>
  <si>
    <t>CeCe Flora Whispers Printed Off-The Classic Navy M</t>
  </si>
  <si>
    <t>194288119278</t>
  </si>
  <si>
    <t>P1GBUK18</t>
  </si>
  <si>
    <t>DKNY DKNY Belted Cargo Maxi Dress Black M</t>
  </si>
  <si>
    <t>782212888446</t>
  </si>
  <si>
    <t>DKNY SUITS</t>
  </si>
  <si>
    <t>UG9J7222</t>
  </si>
  <si>
    <t>DKNY Open-Front Jacket Black 4</t>
  </si>
  <si>
    <t>795733127192</t>
  </si>
  <si>
    <t>2</t>
  </si>
  <si>
    <t>DKNY Open-Front Jacket Black 2</t>
  </si>
  <si>
    <t>795733076391</t>
  </si>
  <si>
    <t>W1GAJ2W77RE</t>
  </si>
  <si>
    <t>GUESS Curve Mid Rise Skinny Jeans Pretty In Pink 28</t>
  </si>
  <si>
    <t>7620207139407</t>
  </si>
  <si>
    <t>W0YAB4R1UN2</t>
  </si>
  <si>
    <t>GUESS 1981 Cargo Skinny Pants Optic White 25</t>
  </si>
  <si>
    <t>193327678004</t>
  </si>
  <si>
    <t>W1YAB4R3AF3</t>
  </si>
  <si>
    <t>GUESS 1981 Cropped Skinny Jeans Light Matcha Multi 27</t>
  </si>
  <si>
    <t>195124295255</t>
  </si>
  <si>
    <t>SQUARE 30</t>
  </si>
  <si>
    <t>W1GA27R49T0</t>
  </si>
  <si>
    <t>GUESS Ayla Cropped Kick Flare Jeans Monarch Blue 30</t>
  </si>
  <si>
    <t>195124163929</t>
  </si>
  <si>
    <t>12</t>
  </si>
  <si>
    <t>L1IK4215</t>
  </si>
  <si>
    <t>Karl Lagerfeld Paris Faux Leather Pants with Belt Black 12</t>
  </si>
  <si>
    <t>194775576874</t>
  </si>
  <si>
    <t>W1BK37K9UO0</t>
  </si>
  <si>
    <t>GUESS Ribbed Cutout Twist-Front Dres Nordic Sea M</t>
  </si>
  <si>
    <t>7620207996543</t>
  </si>
  <si>
    <t>M1IAD559</t>
  </si>
  <si>
    <t>Calvin Klein Faux-Suede Jacket Black M</t>
  </si>
  <si>
    <t>195841557360</t>
  </si>
  <si>
    <t>CR811262</t>
  </si>
  <si>
    <t>Calvin Klein Faux Fur Trimmed Hooded Puffer Black M</t>
  </si>
  <si>
    <t>885719402983</t>
  </si>
  <si>
    <t>Anne Klein Faux-Fur Collar Zip-Front Ponc Camelblack L</t>
  </si>
  <si>
    <t>93488945857</t>
  </si>
  <si>
    <t>W1YB10RE1E0</t>
  </si>
  <si>
    <t>GUESS Miya Palazzo Pants Joshua Tree Multi L</t>
  </si>
  <si>
    <t>195124296399</t>
  </si>
  <si>
    <t>REDOVERFLW</t>
  </si>
  <si>
    <t>W0GK0TWCUV0</t>
  </si>
  <si>
    <t>GUESS Clara Printed Ruffled Dress Vintage African Leaves Combo XS</t>
  </si>
  <si>
    <t>7618584427002</t>
  </si>
  <si>
    <t>O1YA34WO061</t>
  </si>
  <si>
    <t>GUESS Active Abigayle Wind Jacket Blue Graphite Greytouch M</t>
  </si>
  <si>
    <t>7618483944785</t>
  </si>
  <si>
    <t>M1HCH179</t>
  </si>
  <si>
    <t>Calvin Klein Tech Stretch Jacket Melange Grey XS</t>
  </si>
  <si>
    <t>195841349521</t>
  </si>
  <si>
    <t>MED GRAY</t>
  </si>
  <si>
    <t>Kasper Faux Fur Cuff Open Front Cardi Medium Heather Grey XL</t>
  </si>
  <si>
    <t>93488993667</t>
  </si>
  <si>
    <t>Anne Klein Stand-Collar Coatigan Blackcamel XL</t>
  </si>
  <si>
    <t>93488947660</t>
  </si>
  <si>
    <t>W1YA16D3Y0M</t>
  </si>
  <si>
    <t>GUESS Girly Cropped Cotton Jeans In The Storm 28</t>
  </si>
  <si>
    <t>7620207145118</t>
  </si>
  <si>
    <t>LT/PAS BWN</t>
  </si>
  <si>
    <t>M1IO8777</t>
  </si>
  <si>
    <t>Calvin Klein Metallic Tie-Waist Sweater Dre Tobacco S</t>
  </si>
  <si>
    <t>195841554772</t>
  </si>
  <si>
    <t>2 P</t>
  </si>
  <si>
    <t>T18JR196</t>
  </si>
  <si>
    <t>Calvin Klein Petite Plaid Blazer Charcoal Multi 2P</t>
  </si>
  <si>
    <t>195841696465</t>
  </si>
  <si>
    <t>VINCE CAMUTO/G-III APPAREL GROUP</t>
  </si>
  <si>
    <t>VC0M1221</t>
  </si>
  <si>
    <t>Vince Camuto Floral-Print Pleated Dress Yellow Multi 10</t>
  </si>
  <si>
    <t>689886088656</t>
  </si>
  <si>
    <t>Kasper Faux-Suede Jacket Doe M</t>
  </si>
  <si>
    <t>93488859987</t>
  </si>
  <si>
    <t>HARPER ROSE/G-III APPAREL GROUP</t>
  </si>
  <si>
    <t>16</t>
  </si>
  <si>
    <t>HR1M8199</t>
  </si>
  <si>
    <t>HARPER ROSE Two-Tone Sleeveless A-Line Dre Navy 16</t>
  </si>
  <si>
    <t>194592877369</t>
  </si>
  <si>
    <t>HR1M4505</t>
  </si>
  <si>
    <t>HARPER ROSE Double Collar Sleeveless Sheat Rose 12</t>
  </si>
  <si>
    <t>194592893048</t>
  </si>
  <si>
    <t>EF/NV PETITES</t>
  </si>
  <si>
    <t>PET/MED</t>
  </si>
  <si>
    <t>S1FTJ-T5738P</t>
  </si>
  <si>
    <t>Eileen Fisher Crewneck Boxy T-Shirt White PM</t>
  </si>
  <si>
    <t>193481718691</t>
  </si>
  <si>
    <t>W1YK21RE0P0</t>
  </si>
  <si>
    <t>GUESS Short-Sleeve Heidi Dress Sweetest Rose Print Blue L</t>
  </si>
  <si>
    <t>195124303356</t>
  </si>
  <si>
    <t>RUSTCOPPER</t>
  </si>
  <si>
    <t>W1YA27D2KP1</t>
  </si>
  <si>
    <t>GUESS Embroidered Flare-Leg Jeans White 27</t>
  </si>
  <si>
    <t>195124408525</t>
  </si>
  <si>
    <t>GUESS Short-Sleeve Heidi Dress Pure White XL</t>
  </si>
  <si>
    <t>195124303325</t>
  </si>
  <si>
    <t>91% COTTON/6% ELASTERELL-P/3% SPANDEX</t>
  </si>
  <si>
    <t>MADE IN MEXICO</t>
  </si>
  <si>
    <t>JEN 7/SEVEN FOR ALL MANKIND</t>
  </si>
  <si>
    <t>SQUARE 18</t>
  </si>
  <si>
    <t>7G003330</t>
  </si>
  <si>
    <t>JEN7 Sculpting Boyfriend Jeans Bayview 18</t>
  </si>
  <si>
    <t>190392929611</t>
  </si>
  <si>
    <t>S1GHE-W5813M</t>
  </si>
  <si>
    <t>Eileen Fisher Organic Linen Top Cnary XL</t>
  </si>
  <si>
    <t>193481920247</t>
  </si>
  <si>
    <t>7N240B14</t>
  </si>
  <si>
    <t>7 For All Mankind Organic Cotton Wrap T-Shirt Jet Black L</t>
  </si>
  <si>
    <t>190392969389</t>
  </si>
  <si>
    <t>M1IJ4472</t>
  </si>
  <si>
    <t>Calvin Klein Faux Shearling Coat Black M</t>
  </si>
  <si>
    <t>195841368911</t>
  </si>
  <si>
    <t>Calvin Klein Faux Shearling Coat Grey M</t>
  </si>
  <si>
    <t>195841368898</t>
  </si>
  <si>
    <t>Calvin Klein Faux Shearling Coat Grey L</t>
  </si>
  <si>
    <t>195841334909</t>
  </si>
  <si>
    <t>Calvin Klein Faux Shearling Coat Camel L</t>
  </si>
  <si>
    <t>195841334947</t>
  </si>
  <si>
    <t>Calvin Klein Faux Shearling Coat Camel M</t>
  </si>
  <si>
    <t>195841368904</t>
  </si>
  <si>
    <t>Calvin Klein Faux Shearling Coat Black L</t>
  </si>
  <si>
    <t>195841334985</t>
  </si>
  <si>
    <t>Calvin Klein Faux Shearling Coat Camel XL</t>
  </si>
  <si>
    <t>195841334930</t>
  </si>
  <si>
    <t>7U032120</t>
  </si>
  <si>
    <t>7 For All Mankind Wave Hem Skinny Ankle Jeans Luxe Vintage Lady Blue 28</t>
  </si>
  <si>
    <t>190392944577</t>
  </si>
  <si>
    <t>IMAGE</t>
  </si>
  <si>
    <t>FABRIC CONTENT</t>
  </si>
  <si>
    <t>COUNTRY OF ORIGIN</t>
  </si>
  <si>
    <t>VENDOR NAME</t>
  </si>
  <si>
    <t>DEPARTMENT NAME</t>
  </si>
  <si>
    <t>CLIENT COST</t>
  </si>
  <si>
    <t>SIZE</t>
  </si>
  <si>
    <t>COLOR</t>
  </si>
  <si>
    <t>VENDOR / STYLE #</t>
  </si>
  <si>
    <t>ORIGINAL QTY</t>
  </si>
  <si>
    <t>ITEM DESCRIPTION</t>
  </si>
  <si>
    <t>UPC</t>
  </si>
  <si>
    <t>STORE STOCK</t>
  </si>
  <si>
    <t>TOTAL ORIGINAL RETAIL</t>
  </si>
  <si>
    <t>WEIGHT</t>
  </si>
  <si>
    <t># OF CARTONS</t>
  </si>
  <si>
    <t>RETURN TYPE</t>
  </si>
  <si>
    <t>Champion Womens Cotton Cropped T-Shirt Deep Forte Blue XL</t>
  </si>
  <si>
    <t>77478995015</t>
  </si>
  <si>
    <t>TH SUIT SEPS</t>
  </si>
  <si>
    <t>H18TS92A</t>
  </si>
  <si>
    <t>LS RIBBED MOCK NECK TOP</t>
  </si>
  <si>
    <t>195105514047</t>
  </si>
  <si>
    <t>H11SC305</t>
  </si>
  <si>
    <t>DRAWSTRING SKIRT</t>
  </si>
  <si>
    <t>195105734735</t>
  </si>
  <si>
    <t>195105734728</t>
  </si>
  <si>
    <t>195105734742</t>
  </si>
  <si>
    <t>CHASER/HOUSTON SALEM INC</t>
  </si>
  <si>
    <t>CW8478-DVB117-ATLTIE</t>
  </si>
  <si>
    <t>RECYCLED VINTAGE JERSEY</t>
  </si>
  <si>
    <t>714232130717</t>
  </si>
  <si>
    <t>ELEVEN PARIS/NOXS INC</t>
  </si>
  <si>
    <t>21S2SW08</t>
  </si>
  <si>
    <t>ELEVEN PARIS Lonely Hearts Club Sweatshirt Limoges Blue S</t>
  </si>
  <si>
    <t>829468930922</t>
  </si>
  <si>
    <t>ELEVEN PARIS Lonely Hearts Club Sweatshirt Limoges Blue L</t>
  </si>
  <si>
    <t>829468930946</t>
  </si>
  <si>
    <t>21S2SW11</t>
  </si>
  <si>
    <t>EART KNIT TIE DYE REGULAR</t>
  </si>
  <si>
    <t>829468932544</t>
  </si>
  <si>
    <t>829468932551</t>
  </si>
  <si>
    <t>829468932537</t>
  </si>
  <si>
    <t>829468932520</t>
  </si>
  <si>
    <t>21S2JG04</t>
  </si>
  <si>
    <t>EART KNIT TIE DYE JOGGER</t>
  </si>
  <si>
    <t>829468932582</t>
  </si>
  <si>
    <t>829468932575</t>
  </si>
  <si>
    <t>829468932599</t>
  </si>
  <si>
    <t>LE SUIT/KASPER GROUP LLC</t>
  </si>
  <si>
    <t>PETITE SUITS</t>
  </si>
  <si>
    <t>Le Suit Petite Striped One-Button Pant Navy 2P</t>
  </si>
  <si>
    <t>93488446200</t>
  </si>
  <si>
    <t>MISSY SUITS</t>
  </si>
  <si>
    <t>Le Suit Le Suit Collarless Skirt Suit BlackWhite 10</t>
  </si>
  <si>
    <t>93488341635</t>
  </si>
  <si>
    <t>8</t>
  </si>
  <si>
    <t>Le Suit Three-Button Skirt Suit White 8</t>
  </si>
  <si>
    <t>93488340300</t>
  </si>
  <si>
    <t>Le Suit Herringbone Notch-Lapel Pantsu Steel Gray Multi 10</t>
  </si>
  <si>
    <t>93488445586</t>
  </si>
  <si>
    <t>Le Suit Two-Button Skirt Suit GreyWhite 18</t>
  </si>
  <si>
    <t>93488341420</t>
  </si>
  <si>
    <t>Le Suit Petite Two-Button Pantsuit Indigo Blue Multi 4</t>
  </si>
  <si>
    <t>93488340614</t>
  </si>
  <si>
    <t>Le Suit Petite Two-Button Pantsuit Indigo Blue Multi 18</t>
  </si>
  <si>
    <t>93488340607</t>
  </si>
  <si>
    <t>Le Suit Notched Collar Two-Button Pant Viridian Gray 8</t>
  </si>
  <si>
    <t>93488369752</t>
  </si>
  <si>
    <t>Le Suit Notched Collar Two-Button Pant Viridian Gray 18</t>
  </si>
  <si>
    <t>93488369721</t>
  </si>
  <si>
    <t>Le Suit Herringbone Notch-Lapel Pantsu Steel Gray Multi 14</t>
  </si>
  <si>
    <t>93488445609</t>
  </si>
  <si>
    <t>4 P</t>
  </si>
  <si>
    <t>Le Suit Petite Striped One-Button Pant Navy 4P</t>
  </si>
  <si>
    <t>93488446217</t>
  </si>
  <si>
    <t>Le Suit Two-Button Seamed Skirt Suit Bordeaux Red 12</t>
  </si>
  <si>
    <t>93488513391</t>
  </si>
  <si>
    <t>WOMENS SUITS</t>
  </si>
  <si>
    <t>S P</t>
  </si>
  <si>
    <t>BRIGHT GRN</t>
  </si>
  <si>
    <t>Le Suit Plus Size Two-Button Pant Suit Loden Green 16W</t>
  </si>
  <si>
    <t>93488369868</t>
  </si>
  <si>
    <t>Le Suit Shawl-Collar Skirt Suit Vanilla Ice 4</t>
  </si>
  <si>
    <t>93488493716</t>
  </si>
  <si>
    <t>Le Suit Shawl-Collar Skirt Suit Vanilla Ice 10</t>
  </si>
  <si>
    <t>93488493662</t>
  </si>
  <si>
    <t>Le Suit One-Button Pantsuit Denim Blue 18</t>
  </si>
  <si>
    <t>93488705567</t>
  </si>
  <si>
    <t>Le Suit Wide Pinstripe Three-Button Pa Blackwhite 16</t>
  </si>
  <si>
    <t>93488700739</t>
  </si>
  <si>
    <t>Le Suit One-Button Pantsuit Denim Blue 14</t>
  </si>
  <si>
    <t>93488705543</t>
  </si>
  <si>
    <t>Le Suit One-Button Pantsuit Denim Blue 4</t>
  </si>
  <si>
    <t>93488705574</t>
  </si>
  <si>
    <t>Le Suit Wide Pinstripe Three-Button Pa Blackwhite 14</t>
  </si>
  <si>
    <t>93488700722</t>
  </si>
  <si>
    <t>6</t>
  </si>
  <si>
    <t>Le Suit Wide Pinstripe Three-Button Pa Blackwhite 6</t>
  </si>
  <si>
    <t>93488700760</t>
  </si>
  <si>
    <t>Le Suit Petite Houndstooth Skirt Suit Vanilla Iceblack 12P</t>
  </si>
  <si>
    <t>93488558811</t>
  </si>
  <si>
    <t>RS1K740</t>
  </si>
  <si>
    <t>MARIPOSA PULLOVER</t>
  </si>
  <si>
    <t>193666940800</t>
  </si>
  <si>
    <t>Le Suit Star-Collar Striped Dress Suit BlackWhite 4</t>
  </si>
  <si>
    <t>93488387169</t>
  </si>
  <si>
    <t>Le Suit Star-Collar Striped Dress Suit BlackWhite 6</t>
  </si>
  <si>
    <t>93488387176</t>
  </si>
  <si>
    <t>Le Suit Printed Dress Suit Indigo Navy 12</t>
  </si>
  <si>
    <t>93488730279</t>
  </si>
  <si>
    <t>Le Suit Topper-Jacket Jacquard Dress S Pale Gold 12</t>
  </si>
  <si>
    <t>93488799733</t>
  </si>
  <si>
    <t>Le Suit Plus Size Three-Button Pantsui Navy 16W</t>
  </si>
  <si>
    <t>93488521976</t>
  </si>
  <si>
    <t>20W</t>
  </si>
  <si>
    <t>Le Suit Plus Size Two-Button Pantsuit Blue Grey 20W</t>
  </si>
  <si>
    <t>93488731283</t>
  </si>
  <si>
    <t>DARKYELLOW</t>
  </si>
  <si>
    <t>TSMU0WN014</t>
  </si>
  <si>
    <t>Tahari ASL Belted Skirt Suit Golden 16</t>
  </si>
  <si>
    <t>635273822181</t>
  </si>
  <si>
    <t>TSMU0WN030</t>
  </si>
  <si>
    <t>Tahari ASL Zip-Front Peplum Skirt Suit Black Sack Stretch 6</t>
  </si>
  <si>
    <t>635273822327</t>
  </si>
  <si>
    <t>Tahari ASL Zip-Front Peplum Skirt Suit Black Sack Stretch 16</t>
  </si>
  <si>
    <t>635273822280</t>
  </si>
  <si>
    <t>TSMF0WN155</t>
  </si>
  <si>
    <t>Tahari ASL Collarless Faux-Double-Breaste Ivory Gold Metallic Tweed 12</t>
  </si>
  <si>
    <t>663309917327</t>
  </si>
  <si>
    <t>PINKOVERPL</t>
  </si>
  <si>
    <t>TSMF0WN141</t>
  </si>
  <si>
    <t>Tahari ASL Checkered Contrast-Cuff Pants Plum Teal Combo Houndstooth 14</t>
  </si>
  <si>
    <t>663309916535</t>
  </si>
  <si>
    <t>TSMU1WN094</t>
  </si>
  <si>
    <t>Tahari ASL Belted Asymmetrical Pantsuit Lapis 6</t>
  </si>
  <si>
    <t>663309999125</t>
  </si>
  <si>
    <t>Tahari ASL Belted Asymmetrical Pantsuit Lapis 8</t>
  </si>
  <si>
    <t>663309999132</t>
  </si>
  <si>
    <t>TSMU1WN178</t>
  </si>
  <si>
    <t>Tahari ASL Wrap-Jacket Pantsuit Black Ivory 12</t>
  </si>
  <si>
    <t>635273853369</t>
  </si>
  <si>
    <t>TSMU1WN177</t>
  </si>
  <si>
    <t>Tahari ASL Collared Skirt Suit Dark Pomegranate 8</t>
  </si>
  <si>
    <t>635273853338</t>
  </si>
  <si>
    <t>MARELLA/MAXMARA USA INC</t>
  </si>
  <si>
    <t>DRAFT - Marella Patterned Pant Black 6</t>
  </si>
  <si>
    <t>8056232924258</t>
  </si>
  <si>
    <t>DRAFT - Marella Patterned Pant Black 14</t>
  </si>
  <si>
    <t>8050230005605</t>
  </si>
  <si>
    <t>DRAFT - Marella Patterned Pant Black 12</t>
  </si>
  <si>
    <t>8056232963974</t>
  </si>
  <si>
    <t>NICOLE MILLER/KOBRA INTERNATIONAL</t>
  </si>
  <si>
    <t>PETITE</t>
  </si>
  <si>
    <t>CP19265</t>
  </si>
  <si>
    <t>Nicole Miller Garment Dyed Charmeuse Jogger Purple P</t>
  </si>
  <si>
    <t>794566315332</t>
  </si>
  <si>
    <t>Nicole Miller Garment Dyed Charmeuse Jogger Purple S</t>
  </si>
  <si>
    <t>794566315349</t>
  </si>
  <si>
    <t>Nicole Miller Garment Dyed Charmeuse Jogger Purple XL</t>
  </si>
  <si>
    <t>794566315370</t>
  </si>
  <si>
    <t>GT18H586417</t>
  </si>
  <si>
    <t>Champion Classic Logo T-Shirt Fantastic Fuchsia S</t>
  </si>
  <si>
    <t>77478961928</t>
  </si>
  <si>
    <t>W5950G586414</t>
  </si>
  <si>
    <t>Champion Womens Cropped Graphic-Print White XL</t>
  </si>
  <si>
    <t>77478967005</t>
  </si>
  <si>
    <t>W5950B586160</t>
  </si>
  <si>
    <t>Champion Cropped Colorblocked T-Shirt WhiteFantastic Fucshia L</t>
  </si>
  <si>
    <t>77478990256</t>
  </si>
  <si>
    <t>Champion Cropped Colorblocked T-Shirt WhiteFantastic Fucshia XS</t>
  </si>
  <si>
    <t>77478990225</t>
  </si>
  <si>
    <t>Champion Womens Cotton Cropped T-Shirt Fantastic Fuchsia L</t>
  </si>
  <si>
    <t>77478993844</t>
  </si>
  <si>
    <t>W5950G586135</t>
  </si>
  <si>
    <t>Champion Logo Cropped T-Shirt Chalk White XL</t>
  </si>
  <si>
    <t>194164680335</t>
  </si>
  <si>
    <t>W5950G586160</t>
  </si>
  <si>
    <t>Champion Cropped Logo T-Shirt Athletic N L</t>
  </si>
  <si>
    <t>194164671074</t>
  </si>
  <si>
    <t>YOUNIQUE/TURN ON PRODUCTS INC</t>
  </si>
  <si>
    <t>CW5390-6094MC</t>
  </si>
  <si>
    <t>Almost Famous Trendy Plus Size Off-The-Shoul Black 2X</t>
  </si>
  <si>
    <t>193290462518</t>
  </si>
  <si>
    <t>Tommy Jeans Cotton Linear Logo T-Shirt Scarlet S</t>
  </si>
  <si>
    <t>195105710098</t>
  </si>
  <si>
    <t>Tommy Jeans Cotton Linear Logo T-Shirt Sky Captain XS</t>
  </si>
  <si>
    <t>195105710425</t>
  </si>
  <si>
    <t>Tommy Hilfiger Womens Knotted Tank Top Scarlet XS</t>
  </si>
  <si>
    <t>190607160020</t>
  </si>
  <si>
    <t>Tommy Hilfiger Womens Knotted Tank Top Scarlet L</t>
  </si>
  <si>
    <t>190607159994</t>
  </si>
  <si>
    <t>Tommy Hilfiger Womens Knotted Tank Top White XS</t>
  </si>
  <si>
    <t>190607159710</t>
  </si>
  <si>
    <t>TP18807S</t>
  </si>
  <si>
    <t>Tommy Hilfiger Womens Striped Logo Shorts Scarlet XL</t>
  </si>
  <si>
    <t>195105778982</t>
  </si>
  <si>
    <t>Tommy Hilfiger Womens Knotted Tank Top White M</t>
  </si>
  <si>
    <t>190607159697</t>
  </si>
  <si>
    <t>TP03973T</t>
  </si>
  <si>
    <t>Tommy Hilfiger Womens Cutout-Back T-Shirt White Stone Heather XL</t>
  </si>
  <si>
    <t>190607155439</t>
  </si>
  <si>
    <t>Tommy Hilfiger Womens Knotted Tank Top Scarlet XL</t>
  </si>
  <si>
    <t>190607159987</t>
  </si>
  <si>
    <t>TP00007T</t>
  </si>
  <si>
    <t>Tommy Hilfiger Womens Dream Big Knotted T-Sh Deep Blue XS</t>
  </si>
  <si>
    <t>190607158522</t>
  </si>
  <si>
    <t>TP18790S</t>
  </si>
  <si>
    <t>Tommy Hilfiger Womens Terry Shorts White Stone Heather M</t>
  </si>
  <si>
    <t>195105773338</t>
  </si>
  <si>
    <t>Tommy Hilfiger Womens Knotted Tank Top White XL</t>
  </si>
  <si>
    <t>190607159673</t>
  </si>
  <si>
    <t>Tommy Hilfiger Womens Knotted Tank Top White L</t>
  </si>
  <si>
    <t>190607159680</t>
  </si>
  <si>
    <t>Tommy Hilfiger Womens Cutout-Back T-Shirt White Stone Heather S</t>
  </si>
  <si>
    <t>190607155460</t>
  </si>
  <si>
    <t>Tommy Hilfiger Womens Knotted Tank Top White S</t>
  </si>
  <si>
    <t>190607159703</t>
  </si>
  <si>
    <t>J1CH0811</t>
  </si>
  <si>
    <t>Tommy Hilfiger Cotton Logo-Print T-Shirt Sky Captain XL</t>
  </si>
  <si>
    <t>195105748855</t>
  </si>
  <si>
    <t>MED ORANGE</t>
  </si>
  <si>
    <t>Riley Rae Lily Tank Top Coral Reef XS</t>
  </si>
  <si>
    <t>195203684000</t>
  </si>
  <si>
    <t>GF567586136</t>
  </si>
  <si>
    <t>Champion Powerblend Fleece Logo Sweatsh Violet Sto XS</t>
  </si>
  <si>
    <t>194164680052</t>
  </si>
  <si>
    <t>COTTON/SPANDEX; MESH: POLYESTER/COTTON</t>
  </si>
  <si>
    <t>B1429P</t>
  </si>
  <si>
    <t>Champion Authentic Logo-Print Cutout Ra Mini Batik Check XL</t>
  </si>
  <si>
    <t>77478932294</t>
  </si>
  <si>
    <t>B1429G586647</t>
  </si>
  <si>
    <t>Champion Womens The Authentic Medium-I Black XS</t>
  </si>
  <si>
    <t>77478839579</t>
  </si>
  <si>
    <t>Champion Authentic Logo-Print Cutout Ra Mini Batik Check S</t>
  </si>
  <si>
    <t>77478932263</t>
  </si>
  <si>
    <t>Champion Authentic Logo-Print Cutout Ra Mini Batik Check XS</t>
  </si>
  <si>
    <t>77478932256</t>
  </si>
  <si>
    <t>CeCe Puff-Sleeve Knit Top Ultra White M</t>
  </si>
  <si>
    <t>720655532915</t>
  </si>
  <si>
    <t>W1YI21R44J0</t>
  </si>
  <si>
    <t>GUESS Circle Stripe Logo T-Shirt Scattered Petals Multi S</t>
  </si>
  <si>
    <t>195124300478</t>
  </si>
  <si>
    <t>COTTON/SPANDEX</t>
  </si>
  <si>
    <t>TP96901P</t>
  </si>
  <si>
    <t>Tommy Hilfiger Colorblocked Leggings Deep Blue XL</t>
  </si>
  <si>
    <t>190607325658</t>
  </si>
  <si>
    <t>Tommy Hilfiger Logo Mini Skirt Black XS</t>
  </si>
  <si>
    <t>190607441792</t>
  </si>
  <si>
    <t>Tommy Hilfiger Logo Mini Skirt White Stone Heather M</t>
  </si>
  <si>
    <t>190607441723</t>
  </si>
  <si>
    <t>Riley Rae Amber Sun Tropical-Print Short Ruby Blush XS</t>
  </si>
  <si>
    <t>195203796871</t>
  </si>
  <si>
    <t>Riley Rae Printed-Sleeve Sweater Geranium Red S</t>
  </si>
  <si>
    <t>195203517858</t>
  </si>
  <si>
    <t>GUESS Corinne Cotton Graphic T-Shirt Heather Ivory S</t>
  </si>
  <si>
    <t>7620207159009</t>
  </si>
  <si>
    <t>GF567586149</t>
  </si>
  <si>
    <t>Champion Applique Logo Sweatshirt Athletic Navy S</t>
  </si>
  <si>
    <t>194164679643</t>
  </si>
  <si>
    <t>Bar III Plus Size Tie-Dye Camisole Fjord BlueNYC White 2X</t>
  </si>
  <si>
    <t>93488765790</t>
  </si>
  <si>
    <t>Bar III Plus Size Snake Print Camisole Ibiza Blue Combo 3X</t>
  </si>
  <si>
    <t>93488895640</t>
  </si>
  <si>
    <t>81114339A3</t>
  </si>
  <si>
    <t>1.STATE Scoop-Neck Bodysuit Ultra White XL</t>
  </si>
  <si>
    <t>195203675565</t>
  </si>
  <si>
    <t>Anne Klein Denim and Sport Womens Lucile Button Down Shi NYC White Large</t>
  </si>
  <si>
    <t>29023524416</t>
  </si>
  <si>
    <t>Riley Rae Puff-Sleeve Dress Aegean Sea L</t>
  </si>
  <si>
    <t>195203515700</t>
  </si>
  <si>
    <t>Kasper Grommet-Trim Tunic Mariner Blue XXL</t>
  </si>
  <si>
    <t>93488306559</t>
  </si>
  <si>
    <t>T1CD6AAG</t>
  </si>
  <si>
    <t>Tommy Jeans Striped Midi Dress Sky Captain Multi S</t>
  </si>
  <si>
    <t>195105709580</t>
  </si>
  <si>
    <t>TSMU1WT296</t>
  </si>
  <si>
    <t>Tahari ASL Paisley-Print Tie-Neck Blouse Ivory Oyster Pailsey M</t>
  </si>
  <si>
    <t>663309998142</t>
  </si>
  <si>
    <t>TP03974T</t>
  </si>
  <si>
    <t>Tommy Hilfiger Womens Ombre Logo Sweatshirt Fuchsia Piank XS</t>
  </si>
  <si>
    <t>195105680438</t>
  </si>
  <si>
    <t>TP08225Z</t>
  </si>
  <si>
    <t>Tommy Hilfiger Womens Colorblocked T-Shirt D White Stone Heather XS</t>
  </si>
  <si>
    <t>190607177905</t>
  </si>
  <si>
    <t>TP09004P</t>
  </si>
  <si>
    <t>Tommy Hilfiger Womens Star-Print Cropped Leg Black XS</t>
  </si>
  <si>
    <t>190607159666</t>
  </si>
  <si>
    <t>SHELL: NYLON/METALLIC THREADING/SPANDEX; LINING: POLYESTER</t>
  </si>
  <si>
    <t>MILLENNIAL PLUS DRESS/R &amp; M RICHARD</t>
  </si>
  <si>
    <t>12749WM</t>
  </si>
  <si>
    <t>Morgan Company Trendy Plus Size Metallic Body BlackSilver 3X</t>
  </si>
  <si>
    <t>707762215054</t>
  </si>
  <si>
    <t>21S2TS11</t>
  </si>
  <si>
    <t>ELEVEN PARIS Future Celebrity T-Shirt Whitesilver L</t>
  </si>
  <si>
    <t>829468935231</t>
  </si>
  <si>
    <t>Morgan Company Trendy Plus Size Metallic Body BlackSilver 1X</t>
  </si>
  <si>
    <t>707762215030</t>
  </si>
  <si>
    <t>ELEVEN PARIS Future Celebrity T-Shirt Whitelimoges Blue M</t>
  </si>
  <si>
    <t>829468915554</t>
  </si>
  <si>
    <t>ELEVEN PARIS Future Celebrity T-Shirt Whitelimoges Blue L</t>
  </si>
  <si>
    <t>829468915561</t>
  </si>
  <si>
    <t>ELEVEN PARIS Future Celebrity T-Shirt Whitesilver M</t>
  </si>
  <si>
    <t>829468935224</t>
  </si>
  <si>
    <t>21S2TS02</t>
  </si>
  <si>
    <t>ELEVEN PARIS Tinder Kills Romantics T-Shirt Orchid Hush S</t>
  </si>
  <si>
    <t>829468919422</t>
  </si>
  <si>
    <t>ELEVEN PARIS Tinder Kills Romantics T-Shirt Orchid Hush L</t>
  </si>
  <si>
    <t>829468919446</t>
  </si>
  <si>
    <t>M6029</t>
  </si>
  <si>
    <t>Champion Double Dry Cropped Leggings Black XS</t>
  </si>
  <si>
    <t>77478972412</t>
  </si>
  <si>
    <t>Champion Double Dry Cropped Leggings Black L</t>
  </si>
  <si>
    <t>77478972443</t>
  </si>
  <si>
    <t>Champion Double Dry Cropped Leggings Black S</t>
  </si>
  <si>
    <t>77478972429</t>
  </si>
  <si>
    <t>Kasper Tie-Neck Top Lily White XL</t>
  </si>
  <si>
    <t>93488753292</t>
  </si>
  <si>
    <t>Kasper Tie-Neck Top Lily White L</t>
  </si>
  <si>
    <t>93488753261</t>
  </si>
  <si>
    <t>TSMS1WT259</t>
  </si>
  <si>
    <t>Tahari ASL Tulip-Sleeve V-Neck Blouse White M</t>
  </si>
  <si>
    <t>663309976454</t>
  </si>
  <si>
    <t>Kasper Petite Pleated-Neck Top Wedgewood Blue Multi PS</t>
  </si>
  <si>
    <t>93488306368</t>
  </si>
  <si>
    <t>HSVS0059</t>
  </si>
  <si>
    <t>SKIRT</t>
  </si>
  <si>
    <t>190607984633</t>
  </si>
  <si>
    <t>COTTON/POLYESTER</t>
  </si>
  <si>
    <t>TP94600J</t>
  </si>
  <si>
    <t>Tommy Hilfiger Colorblocked Zip-Up Hoodie White Stone Heather M</t>
  </si>
  <si>
    <t>192114012137</t>
  </si>
  <si>
    <t>TP94611J</t>
  </si>
  <si>
    <t>Tommy Hilfiger Tommy Hilfiger Sport Womens F Pearl Grey Heather XS</t>
  </si>
  <si>
    <t>192114232962</t>
  </si>
  <si>
    <t>KANCAN</t>
  </si>
  <si>
    <t>KC5211M</t>
  </si>
  <si>
    <t>Kancan Kancan Womens High Rise Short Medium Blue Medium</t>
  </si>
  <si>
    <t>840111919927</t>
  </si>
  <si>
    <t>M/L</t>
  </si>
  <si>
    <t>O1YA35ZZ04M</t>
  </si>
  <si>
    <t>GUESS Alma Active Cutout-Back Top Soft Purple Melange ML</t>
  </si>
  <si>
    <t>7618483944952</t>
  </si>
  <si>
    <t>X18TH39N</t>
  </si>
  <si>
    <t>Calvin Klein Plus Size Tie-Dyed Ruffled Cam Charcoal Multi 2X</t>
  </si>
  <si>
    <t>195841467843</t>
  </si>
  <si>
    <t>W1GH52R1LU4</t>
  </si>
  <si>
    <t>GUESS Amina Linen Corset Top Bleached Tropical Print M</t>
  </si>
  <si>
    <t>195124293879</t>
  </si>
  <si>
    <t>Calvin Klein Plus Size Tie-Dyed Ruffled Cam Charcoal Multi 3X</t>
  </si>
  <si>
    <t>195841467836</t>
  </si>
  <si>
    <t>Calvin Klein Plus Size Tie-Dyed Ruffled Cam Charcoal Multi 1X</t>
  </si>
  <si>
    <t>195841467850</t>
  </si>
  <si>
    <t>POLYESTER/ELASTANE; LINING: POLYESTER</t>
  </si>
  <si>
    <t>8 P</t>
  </si>
  <si>
    <t>Kasper Petite Crepe Skirt Butter 8P</t>
  </si>
  <si>
    <t>93487201374</t>
  </si>
  <si>
    <t>Tommy Hilfiger Womens Cropped Ombre Logo Hoo Marine Blue XL</t>
  </si>
  <si>
    <t>195105680698</t>
  </si>
  <si>
    <t>J1CD0612</t>
  </si>
  <si>
    <t>Tommy Hilfiger Logo Hoodie Dress Stone Heather Grey S</t>
  </si>
  <si>
    <t>195105702390</t>
  </si>
  <si>
    <t>EMERALD SUNDAE/WILD HORSES APPAREL</t>
  </si>
  <si>
    <t>FZLP3405</t>
  </si>
  <si>
    <t>Emerald Sundae Trendy Plus Size Cold-Shoulder Royal 20</t>
  </si>
  <si>
    <t>887840435649</t>
  </si>
  <si>
    <t>POLYESTER; LINING: POLYESTER</t>
  </si>
  <si>
    <t>Kasper Crepe Column Midi Skirt Black 8</t>
  </si>
  <si>
    <t>782417025875</t>
  </si>
  <si>
    <t>CW8712-IGOTIE</t>
  </si>
  <si>
    <t>Chaser Chaser Tie-Dye Drawstring Shor Indigo Tie Dye M</t>
  </si>
  <si>
    <t>714232142239</t>
  </si>
  <si>
    <t>RM1K020</t>
  </si>
  <si>
    <t>Splendid Splendid Mika Halter-Neck Tank Travertine S</t>
  </si>
  <si>
    <t>193666592818</t>
  </si>
  <si>
    <t>Splendid Splendid Mika Halter-Neck Tank Travertine XS</t>
  </si>
  <si>
    <t>193666592832</t>
  </si>
  <si>
    <t>21S2JS01</t>
  </si>
  <si>
    <t>ELEVEN PARIS Cotton Jogger Shorts Nile Green M</t>
  </si>
  <si>
    <t>829468930489</t>
  </si>
  <si>
    <t>21S2TK01</t>
  </si>
  <si>
    <t>ELEVEN PARIS Call My Stylist Ombre Top Nile Greenorchid Hush Dip Dye S</t>
  </si>
  <si>
    <t>829468934753</t>
  </si>
  <si>
    <t>ELEVEN PARIS Cotton Jogger Shorts Nile Green S</t>
  </si>
  <si>
    <t>829468930472</t>
  </si>
  <si>
    <t>ELEVEN PARIS Cotton Jogger Shorts Nile Green L</t>
  </si>
  <si>
    <t>829468930496</t>
  </si>
  <si>
    <t>CW8720-GCAMO</t>
  </si>
  <si>
    <t>Chaser Chaser Crewneck Camo-Print Sle Camo XS</t>
  </si>
  <si>
    <t>714232144158</t>
  </si>
  <si>
    <t>24W</t>
  </si>
  <si>
    <t>Kasper Plus Size Pencil Skirt Charcoal 24W</t>
  </si>
  <si>
    <t>93487635247</t>
  </si>
  <si>
    <t>Riley Rae Lena Floral-Print Dress Rich Black XS</t>
  </si>
  <si>
    <t>195203519104</t>
  </si>
  <si>
    <t>T03SA811</t>
  </si>
  <si>
    <t>Calvin Klein Petite Asymmetrical-Hem Pencil White 6P</t>
  </si>
  <si>
    <t>194414384594</t>
  </si>
  <si>
    <t>21S2JS04</t>
  </si>
  <si>
    <t>ELEVEN PARIS Drawstring-Waist Cotton Shorts Limoges Blue S</t>
  </si>
  <si>
    <t>829468930823</t>
  </si>
  <si>
    <t>ELEVEN PARIS Drawstring-Waist Cotton Shorts Limoges Blue M</t>
  </si>
  <si>
    <t>829468930830</t>
  </si>
  <si>
    <t>21S2TS01</t>
  </si>
  <si>
    <t>ELEVEN PARIS Make Fashion Not Friends Tie-D Mauveglow Tie Dye S</t>
  </si>
  <si>
    <t>829468930014</t>
  </si>
  <si>
    <t>ELEVEN PARIS Drawstring-Waist Cotton Shorts Limoges Blue L</t>
  </si>
  <si>
    <t>829468930847</t>
  </si>
  <si>
    <t>CeCe Flutter-Sleeve Ruffled-Hem Dre Santorini Sky L</t>
  </si>
  <si>
    <t>195203808093</t>
  </si>
  <si>
    <t>NINE WEST/KASPER GROUP LLC</t>
  </si>
  <si>
    <t>Nine West Solid Blazer Black 16</t>
  </si>
  <si>
    <t>762731605694</t>
  </si>
  <si>
    <t>Kasper Petite V-Neck Sheath Dress Black 12P</t>
  </si>
  <si>
    <t>716357382330</t>
  </si>
  <si>
    <t>Kasper Petite Slim Straight-Leg Trous Black 4P</t>
  </si>
  <si>
    <t>716357036776</t>
  </si>
  <si>
    <t>J0GKD561</t>
  </si>
  <si>
    <t>Tommy Hilfiger TH Flex Tribeca Piped-Trim Ski Cheasapeak Wash 16</t>
  </si>
  <si>
    <t>190607113910</t>
  </si>
  <si>
    <t>W1DAJ613</t>
  </si>
  <si>
    <t>Calvin Klein Plus Size Printed Ruched-Sleev Grey Combo 3X</t>
  </si>
  <si>
    <t>195046059959</t>
  </si>
  <si>
    <t>21S2JS03</t>
  </si>
  <si>
    <t>ELEVEN PARIS Tie-Dye Cotton Drawstring Shor Limoges Blue Tie Dye S</t>
  </si>
  <si>
    <t>829468930779</t>
  </si>
  <si>
    <t>ELEVEN PARIS Tie-Dye Cotton Drawstring Shor Limoges Blue Tie Dye L</t>
  </si>
  <si>
    <t>829468930793</t>
  </si>
  <si>
    <t>TSMU1WS159</t>
  </si>
  <si>
    <t>Tahari ASL Tweed Pencil Skirt Cantaloupe 16</t>
  </si>
  <si>
    <t>635273832319</t>
  </si>
  <si>
    <t>UG1TYM60</t>
  </si>
  <si>
    <t>DKNY Pleated Tie-Neck Top Regatta Blue Multi XXL</t>
  </si>
  <si>
    <t>782212754369</t>
  </si>
  <si>
    <t>CW8478-CRU018-UBLK</t>
  </si>
  <si>
    <t>Chaser Chaser Motley Crue T-Shirt Union Black S</t>
  </si>
  <si>
    <t>714232130656</t>
  </si>
  <si>
    <t>CW8478-CRU013-UBLK</t>
  </si>
  <si>
    <t>Chaser Chaser Motley Crue T-Shirt Union Black XS</t>
  </si>
  <si>
    <t>714232064432</t>
  </si>
  <si>
    <t>BAM115</t>
  </si>
  <si>
    <t>BAM by Betsy Adam Hoodie with Removable Mask Blackblack M</t>
  </si>
  <si>
    <t>195170020078</t>
  </si>
  <si>
    <t>M1HSV761</t>
  </si>
  <si>
    <t>Calvin Klein Long Sleeve Button Front Knit Heather Granite L</t>
  </si>
  <si>
    <t>195841685025</t>
  </si>
  <si>
    <t>Calvin Klein Long Sleeve Button Front Knit Heather Granite M</t>
  </si>
  <si>
    <t>195841685032</t>
  </si>
  <si>
    <t>M1HHH057</t>
  </si>
  <si>
    <t>Calvin Klein 34 Sleeve Plaid V-Neck Top BlackCharcoal S</t>
  </si>
  <si>
    <t>195841687845</t>
  </si>
  <si>
    <t>Kasper Plus Size Pencil Skirt Scarlet Red 16W</t>
  </si>
  <si>
    <t>93488374169</t>
  </si>
  <si>
    <t>XE1PX401</t>
  </si>
  <si>
    <t>DKNY Petite Essex Ankle Pants Denim Blue 4P</t>
  </si>
  <si>
    <t>794278451380</t>
  </si>
  <si>
    <t>Kasper Plus Size Crepe Sheath Dress Vanilla 16W</t>
  </si>
  <si>
    <t>8875879257</t>
  </si>
  <si>
    <t>Kasper Plus Size Sleeveless Sheath Dr Black 14W</t>
  </si>
  <si>
    <t>716357726905</t>
  </si>
  <si>
    <t>POLYESTER/NYLON/SPANDEX; LINING: POLYESTER</t>
  </si>
  <si>
    <t>BEE DARLIN INC</t>
  </si>
  <si>
    <t>B Darlin Trendy Plus Size High-Low Dres Royal 18W</t>
  </si>
  <si>
    <t>791841109501</t>
  </si>
  <si>
    <t>INC DRESSES/KASPER GROUP LLC</t>
  </si>
  <si>
    <t>INC International Concepts Mosaic Floral Chiffon Dress Yellow Multi 10</t>
  </si>
  <si>
    <t>93488253914</t>
  </si>
  <si>
    <t>Bar III Plus Size Colorblocked Button- Ibiza Blueblack 1X</t>
  </si>
  <si>
    <t>93488969907</t>
  </si>
  <si>
    <t>Bar III Plus Size Colorblocked Button- Ibiza Blueblack 3X</t>
  </si>
  <si>
    <t>93488969921</t>
  </si>
  <si>
    <t>Bar III Plus Size Colorblocked Button- Ibiza Blueblack 2X</t>
  </si>
  <si>
    <t>93488969914</t>
  </si>
  <si>
    <t>M1HSW768</t>
  </si>
  <si>
    <t>Calvin Klein Plaid Sweater Heather Granite Multi S</t>
  </si>
  <si>
    <t>195841684844</t>
  </si>
  <si>
    <t>Calvin Klein Plaid Sweater Heather Granite Multi XS</t>
  </si>
  <si>
    <t>195841684851</t>
  </si>
  <si>
    <t>H17PS222</t>
  </si>
  <si>
    <t>Tommy Hilfiger Pinstriped Cargo Pants Navy Ivory 12</t>
  </si>
  <si>
    <t>195105507773</t>
  </si>
  <si>
    <t>21S2JS05</t>
  </si>
  <si>
    <t>ELEVEN PARIS Graphic Sweat Shorts White M</t>
  </si>
  <si>
    <t>829468909898</t>
  </si>
  <si>
    <t>ELEVEN PARIS Graphic Sweat Shorts White XS</t>
  </si>
  <si>
    <t>829468909874</t>
  </si>
  <si>
    <t>ELEVEN PARIS Graphic Sweat Shorts White L</t>
  </si>
  <si>
    <t>829468909904</t>
  </si>
  <si>
    <t>X17PL841</t>
  </si>
  <si>
    <t>Calvin Klein Plus Size Mid-Rise Pleat-Front Cocoa 16W</t>
  </si>
  <si>
    <t>195841512468</t>
  </si>
  <si>
    <t>18W</t>
  </si>
  <si>
    <t>X17PC533</t>
  </si>
  <si>
    <t>Calvin Klein Plus Size Mid-Rise Elastic Wai Aubergine 18W</t>
  </si>
  <si>
    <t>195841737465</t>
  </si>
  <si>
    <t>X18PL884</t>
  </si>
  <si>
    <t>Calvin Klein Plus Size Slim-Leg Pants Klein Blue 14W</t>
  </si>
  <si>
    <t>195841410641</t>
  </si>
  <si>
    <t>Kasper Petite Belted Shift Dress Valencia Orange 2P</t>
  </si>
  <si>
    <t>93488086222</t>
  </si>
  <si>
    <t>Kasper Petite Wide-Lapel Flyaway Jack Butter 8P</t>
  </si>
  <si>
    <t>93487193891</t>
  </si>
  <si>
    <t>W0EKX264</t>
  </si>
  <si>
    <t>Calvin Klein Plus Size Striped Cropped Wide WhiteLatte 2X</t>
  </si>
  <si>
    <t>194414235339</t>
  </si>
  <si>
    <t>AK ANNE KLEIN/KASPER GROUP LLC BBM</t>
  </si>
  <si>
    <t>MOD COLL PLUS</t>
  </si>
  <si>
    <t>Anne Klein Plus Size Bowie Tab-Waist Pant Anne White 20W</t>
  </si>
  <si>
    <t>93488150022</t>
  </si>
  <si>
    <t>SPEECHLESS/SWAT FAME INC</t>
  </si>
  <si>
    <t>D83901WJ735</t>
  </si>
  <si>
    <t>Speechless Trendy Plus Size Glitter-Knit Blush Silver 16W</t>
  </si>
  <si>
    <t>652874020303</t>
  </si>
  <si>
    <t>21S2DR02</t>
  </si>
  <si>
    <t>ELEVEN PARIS Ombre Maxi Dress Orchid Hush M</t>
  </si>
  <si>
    <t>829468918685</t>
  </si>
  <si>
    <t>TSMU1WJ468</t>
  </si>
  <si>
    <t>Tahari ASL Sleeveless Belted Blazer Lapis 6</t>
  </si>
  <si>
    <t>663309996766</t>
  </si>
  <si>
    <t>Nine West Toggle-Closure Jacket Steel Gray 16</t>
  </si>
  <si>
    <t>93487941355</t>
  </si>
  <si>
    <t>POLYESTER/VISCOSE/ELASTANE; LINING: POLYESTER</t>
  </si>
  <si>
    <t>BRIGHT PUR</t>
  </si>
  <si>
    <t>Nine West Contrast-Trim Open-Front Blaze Plum Purple Black 6</t>
  </si>
  <si>
    <t>93487716762</t>
  </si>
  <si>
    <t>JACKET: POLYESTER/ELASTANE; PANTS &amp; JACKET LINING: POLYESTER</t>
  </si>
  <si>
    <t>Le Suit Contrast Single-Button Suit OrchidBlack 10</t>
  </si>
  <si>
    <t>93487544891</t>
  </si>
  <si>
    <t>POLYESTER &amp; LINING: POLYESTER</t>
  </si>
  <si>
    <t>Le Suit Open-Front Jacket Dress Suit Mint 10</t>
  </si>
  <si>
    <t>93487309353</t>
  </si>
  <si>
    <t>RF1K030</t>
  </si>
  <si>
    <t>Splendid Pullover Sweatshirt Rosebud M</t>
  </si>
  <si>
    <t>193666869576</t>
  </si>
  <si>
    <t>POLYESTER/SPANDEX; MESH: POLYESTER/ SPANDEX: LINING: POLYESTER</t>
  </si>
  <si>
    <t>20W AVER</t>
  </si>
  <si>
    <t>12173WMM</t>
  </si>
  <si>
    <t>Morgan Company Plus Size Mesh-Inset Gown Navy 20W</t>
  </si>
  <si>
    <t>707762040014</t>
  </si>
  <si>
    <t>21S2SW02</t>
  </si>
  <si>
    <t>ELEVEN PARIS Make Fashion Not Friends Sweat Nile Green S</t>
  </si>
  <si>
    <t>829468930526</t>
  </si>
  <si>
    <t>ELEVEN PARIS Make Fashion Not Friends Sweat Nile Green M</t>
  </si>
  <si>
    <t>829468930533</t>
  </si>
  <si>
    <t>ELEVEN PARIS Make Fashion Not Friends Sweat Nile Green XS</t>
  </si>
  <si>
    <t>829468930519</t>
  </si>
  <si>
    <t>NYLON/POLYESTER/SPANDEX; LINING: POLYESTER</t>
  </si>
  <si>
    <t>21480WM</t>
  </si>
  <si>
    <t>Morgan Company Trendy Plus Size Lace-Bodice G MerlotNude 20W</t>
  </si>
  <si>
    <t>707762035355</t>
  </si>
  <si>
    <t>ELEVEN PARIS Make Fashion Not Friends Sweat Nile Green L</t>
  </si>
  <si>
    <t>829468930540</t>
  </si>
  <si>
    <t>Kasper Petite Pebble Crepe Jacket Summer Straw Beige 8P</t>
  </si>
  <si>
    <t>93488326243</t>
  </si>
  <si>
    <t>SHELL: POLYESTER/ELASTANE; LINING: POLYESTER</t>
  </si>
  <si>
    <t>MED GREEN</t>
  </si>
  <si>
    <t>Le Suit One-Button Contrast-Color Pant Oliveblack 14</t>
  </si>
  <si>
    <t>93488013594</t>
  </si>
  <si>
    <t>POLYESTER</t>
  </si>
  <si>
    <t>Le Suit Petite Blazer Pants Suit Dark Grey 2P</t>
  </si>
  <si>
    <t>93487746608</t>
  </si>
  <si>
    <t>NOT YOUR DAUGHTERS JEANS/S L L INC</t>
  </si>
  <si>
    <t>NYDJ-MACY'S</t>
  </si>
  <si>
    <t>MFTL8209SD</t>
  </si>
  <si>
    <t>NYDJ Cropped Drawstring-Waist Pants Sunkissed Sage M</t>
  </si>
  <si>
    <t>194477218720</t>
  </si>
  <si>
    <t>JULIA JORDAN/ZG APPAREL GROUP LLC</t>
  </si>
  <si>
    <t>16AV/MD/RG</t>
  </si>
  <si>
    <t>JJ38012</t>
  </si>
  <si>
    <t>julia jordan V-Neck Crepe Jumpsuit Ivory 16</t>
  </si>
  <si>
    <t>889648538157</t>
  </si>
  <si>
    <t>Anne Klein Asymmetrical-Button Pullover S Anne White XL</t>
  </si>
  <si>
    <t>93488531432</t>
  </si>
  <si>
    <t>21S2JG05</t>
  </si>
  <si>
    <t>ELEVEN PARIS Cotton Jogger Pants White L</t>
  </si>
  <si>
    <t>829468910009</t>
  </si>
  <si>
    <t>ELEVEN PARIS Cotton Jogger Pants White M</t>
  </si>
  <si>
    <t>829468909997</t>
  </si>
  <si>
    <t>RF1K070</t>
  </si>
  <si>
    <t>Splendid Hoodie Top Natural S</t>
  </si>
  <si>
    <t>193666772562</t>
  </si>
  <si>
    <t>BEIGE</t>
  </si>
  <si>
    <t>H11JX4AE</t>
  </si>
  <si>
    <t>Tommy Hilfiger One-Button Elbow-Patch Blazer Khakiblack Multi 16</t>
  </si>
  <si>
    <t>195105739846</t>
  </si>
  <si>
    <t>Le Suit Herringbone Notch-Lapel Pantsu Steel Gray Multi 6</t>
  </si>
  <si>
    <t>93488445647</t>
  </si>
  <si>
    <t>Le Suit Two-Button Pinstripe Pantsuit BlackLoden Green 16</t>
  </si>
  <si>
    <t>93488370123</t>
  </si>
  <si>
    <t>POLYESTER/VISCOSE; LINING: POLYESTER</t>
  </si>
  <si>
    <t>Le Suit Single-Button Skirt Suit Bordeaux Multi 4</t>
  </si>
  <si>
    <t>93487713143</t>
  </si>
  <si>
    <t>P1ABNEWV</t>
  </si>
  <si>
    <t>DKNY Handkerchief-Hem Belted Dress Peacockblack S</t>
  </si>
  <si>
    <t>794278931356</t>
  </si>
  <si>
    <t>SHELL, LINING, MESH: POLYESTER</t>
  </si>
  <si>
    <t>22W AVER</t>
  </si>
  <si>
    <t>12332WMM</t>
  </si>
  <si>
    <t>Morgan Company Trendy Plus Size Beaded Gown Black 22W</t>
  </si>
  <si>
    <t>707762005013</t>
  </si>
  <si>
    <t>SHELL: POLYESTER/SPANDEX; LINING: POLYESTER</t>
  </si>
  <si>
    <t>14W AVER</t>
  </si>
  <si>
    <t>12336WM</t>
  </si>
  <si>
    <t>Morgan Company Trendy Plus Size Off-The-Shoul BlackRoyal 14W</t>
  </si>
  <si>
    <t>882191085017</t>
  </si>
  <si>
    <t>Kasper Single-Button 34-Sleeve Blaze Blackivory M</t>
  </si>
  <si>
    <t>93488304401</t>
  </si>
  <si>
    <t>BRGHT YELL</t>
  </si>
  <si>
    <t>Kasper Shawl-Collar Houndstooth Jacqu Sunburst Multi 10</t>
  </si>
  <si>
    <t>93488087311</t>
  </si>
  <si>
    <t>Kasper Open-Front Jacket Mariner Blue L</t>
  </si>
  <si>
    <t>93488299752</t>
  </si>
  <si>
    <t>Kasper Petite Double-Breasted Jacket Lily White 8P</t>
  </si>
  <si>
    <t>93488085225</t>
  </si>
  <si>
    <t>H13JA857</t>
  </si>
  <si>
    <t>Tommy Hilfiger Open-Front Ruched-Sleeve Blaze Ivory 10</t>
  </si>
  <si>
    <t>195105705094</t>
  </si>
  <si>
    <t>H13J534A</t>
  </si>
  <si>
    <t>Tommy Hilfiger One-Button Blazer Midnight 10</t>
  </si>
  <si>
    <t>195105706701</t>
  </si>
  <si>
    <t>Le Suit Plus Size Two-Button Pant Suit Loden Green 18W</t>
  </si>
  <si>
    <t>93488369875</t>
  </si>
  <si>
    <t>VC0M1413</t>
  </si>
  <si>
    <t>Vince Camuto Eyelet Fit Flare Dress Ivory 2</t>
  </si>
  <si>
    <t>689886082708</t>
  </si>
  <si>
    <t>Le Suit Two-Tone Pants Suit Fire RedBlack 4</t>
  </si>
  <si>
    <t>93488493051</t>
  </si>
  <si>
    <t>SHELL: 95% POLYESTER/5% SPANDEX; LINING: 100% POLYESTER</t>
  </si>
  <si>
    <t>LD0HC179</t>
  </si>
  <si>
    <t>Karl Lagerfeld Paris Scuba Crepe Pleated-Side Sheat Black 12</t>
  </si>
  <si>
    <t>194775923463</t>
  </si>
  <si>
    <t>21S2SW09</t>
  </si>
  <si>
    <t>ELEVEN PARIS Hooded Sweatshirt White M</t>
  </si>
  <si>
    <t>829468909799</t>
  </si>
  <si>
    <t>ELEVEN PARIS Hooded Sweatshirt White L</t>
  </si>
  <si>
    <t>829468909805</t>
  </si>
  <si>
    <t>LNA CLOTHING</t>
  </si>
  <si>
    <t>FW2106</t>
  </si>
  <si>
    <t>LNA Amber Ribbed Long-Sleeve Top Black XS</t>
  </si>
  <si>
    <t>840201226607</t>
  </si>
  <si>
    <t>SHELL: POLYESTER/VISCOSE/ELASTANE; LINING: POLYESTER</t>
  </si>
  <si>
    <t>W3234EYA</t>
  </si>
  <si>
    <t>DKNY One-Button Blazer Light Gray Heather 16</t>
  </si>
  <si>
    <t>802892582653</t>
  </si>
  <si>
    <t>22W</t>
  </si>
  <si>
    <t>Le Suit Plus Size Mini Crosshatch Pant RedBlack 22W</t>
  </si>
  <si>
    <t>93488554356</t>
  </si>
  <si>
    <t>MILLENNIAL PLUS/JODI KRISTOPHER</t>
  </si>
  <si>
    <t>2496UM3PD1</t>
  </si>
  <si>
    <t>City Studios Trendy Plus Size Ombre Rainbo Ivory Combo 20W</t>
  </si>
  <si>
    <t>708008687369</t>
  </si>
  <si>
    <t>21S2SW07</t>
  </si>
  <si>
    <t>ELEVEN PARIS Tie-Dyed Hooded Sweatshirt Limoges Blue Tie Dye L</t>
  </si>
  <si>
    <t>829468930694</t>
  </si>
  <si>
    <t>ELEVEN PARIS Tie-Dyed Hooded Sweatshirt Limoges Blue Tie Dye S</t>
  </si>
  <si>
    <t>829468930670</t>
  </si>
  <si>
    <t>ELEVEN PARIS Tie-Dyed Hooded Sweatshirt Limoges Blue Tie Dye M</t>
  </si>
  <si>
    <t>829468930687</t>
  </si>
  <si>
    <t>Le Suit Plus Size Metallic Tweed Skirt Navy Blue Multi 10</t>
  </si>
  <si>
    <t>93488448716</t>
  </si>
  <si>
    <t>X43351WJ735</t>
  </si>
  <si>
    <t>Speechless Trendy Plus Size Glitter Gown Silver 18W</t>
  </si>
  <si>
    <t>652874202600</t>
  </si>
  <si>
    <t>TSMU1WJ458</t>
  </si>
  <si>
    <t>Tahari ASL Plaid Fringe-Trim Blazer KeylimeBlack 4</t>
  </si>
  <si>
    <t>663309996254</t>
  </si>
  <si>
    <t>Le Suit Plus Size One-Button Notched-C Black 20W</t>
  </si>
  <si>
    <t>93488128311</t>
  </si>
  <si>
    <t>RF1D190</t>
  </si>
  <si>
    <t>Splendid Mariposa Dress V Olv Brown 6</t>
  </si>
  <si>
    <t>193666987447</t>
  </si>
  <si>
    <t>Splendid Mariposa Dress Black 6</t>
  </si>
  <si>
    <t>193666987348</t>
  </si>
  <si>
    <t>W1YK33D46X7</t>
  </si>
  <si>
    <t>GUESS Delta Denim Dress One Wild Night M</t>
  </si>
  <si>
    <t>7620207167059</t>
  </si>
  <si>
    <t>W1GK0VWDW30</t>
  </si>
  <si>
    <t>GUESS Randa Belted High-Low Lace Dre TRUE WHITE A000 S</t>
  </si>
  <si>
    <t>7618483455458</t>
  </si>
  <si>
    <t>GRAYSCALE/FROM GRAYSCALE INC</t>
  </si>
  <si>
    <t>From Grayscale Denim Jumpsuit Dark Blue S</t>
  </si>
  <si>
    <t>850029373322</t>
  </si>
  <si>
    <t>CT19242</t>
  </si>
  <si>
    <t>Nicole Miller Solid Textured Embroidered-Ele Dark Green L</t>
  </si>
  <si>
    <t>794566316902</t>
  </si>
  <si>
    <t>KHAKI</t>
  </si>
  <si>
    <t>Nicole Miller Solid Textured Embroidered-Ele Safari S</t>
  </si>
  <si>
    <t>794566330625</t>
  </si>
  <si>
    <t>Nicole Miller Solid Textured Embroidered-Ele Safari P</t>
  </si>
  <si>
    <t>794566330618</t>
  </si>
  <si>
    <t>Nicole Miller Solid Textured Embroidered-Ele Dark Green P</t>
  </si>
  <si>
    <t>794566316810</t>
  </si>
  <si>
    <t>CT19332</t>
  </si>
  <si>
    <t>Nicole Miller Nicole Miller Crochet Eyelet P Dark Green L</t>
  </si>
  <si>
    <t>794566319422</t>
  </si>
  <si>
    <t>Nicole Miller Nicole Miller Crochet Eyelet P White S</t>
  </si>
  <si>
    <t>794566325997</t>
  </si>
  <si>
    <t>Nicole Miller Nicole Miller Crochet Eyelet P White P</t>
  </si>
  <si>
    <t>794566325980</t>
  </si>
  <si>
    <t>BARBOUR INC</t>
  </si>
  <si>
    <t>LSH1402BL19</t>
  </si>
  <si>
    <t>Barbour Beachfront Colorblocked Shirt Sky Blue 8</t>
  </si>
  <si>
    <t>194972223724</t>
  </si>
  <si>
    <t>Le Suit Plus Size Single-Button Crepe Black 18W</t>
  </si>
  <si>
    <t>93488700128</t>
  </si>
  <si>
    <t>W1YK15WAFG0</t>
  </si>
  <si>
    <t>GUESS Arianne Ruffled Maxi Dress Eye On Tiger Brown Combo XL</t>
  </si>
  <si>
    <t>7620207335540</t>
  </si>
  <si>
    <t>21F2JK03</t>
  </si>
  <si>
    <t>ELEVEN PARIS Snake-Embossed Faux-Leather Mo Ochre Snake S</t>
  </si>
  <si>
    <t>829468954959</t>
  </si>
  <si>
    <t>CP19245</t>
  </si>
  <si>
    <t>Nicole Miller Thai Jungle Cotton French Terr Beige L</t>
  </si>
  <si>
    <t>794566324389</t>
  </si>
  <si>
    <t>Nicole Miller Thai Jungle Cotton French Terr Beige XL</t>
  </si>
  <si>
    <t>794566324396</t>
  </si>
  <si>
    <t>CT19244</t>
  </si>
  <si>
    <t>Nicole Miller Thai Jungle Cotton Balloon-Sle Beige S</t>
  </si>
  <si>
    <t>794566324419</t>
  </si>
  <si>
    <t>Nicole Miller Thai Jungle Cotton Balloon-Sle Beige L</t>
  </si>
  <si>
    <t>794566324433</t>
  </si>
  <si>
    <t>Nicole Miller Thai Jungle Cotton Balloon-Sle Beige P</t>
  </si>
  <si>
    <t>794566324402</t>
  </si>
  <si>
    <t>Nicole Miller Thai Jungle Cotton Balloon-Sle Beige M</t>
  </si>
  <si>
    <t>794566324426</t>
  </si>
  <si>
    <t>LT/PAS PUR</t>
  </si>
  <si>
    <t>TSMF0WN143</t>
  </si>
  <si>
    <t>Tahari ASL Peplum Zip-Jacket Dress Suit Dusty Mauve 14</t>
  </si>
  <si>
    <t>663309916733</t>
  </si>
  <si>
    <t>DAUNTLESS CLOTHING LLC</t>
  </si>
  <si>
    <t>D552WREG</t>
  </si>
  <si>
    <t>Dauntless Regina Denim Culottes White S</t>
  </si>
  <si>
    <t>850027946429</t>
  </si>
  <si>
    <t>Marella Marella Pleated-Bodice Top White L</t>
  </si>
  <si>
    <t>8056232481836</t>
  </si>
  <si>
    <t>RED</t>
  </si>
  <si>
    <t>TSMA9WN014</t>
  </si>
  <si>
    <t>Tahari ASL Asymmetrical Belted Skirt Suit Red 4</t>
  </si>
  <si>
    <t>635273728742</t>
  </si>
  <si>
    <t>CT19307</t>
  </si>
  <si>
    <t>Nicole Miller Womens Charmeuse Top Black L</t>
  </si>
  <si>
    <t>794566328516</t>
  </si>
  <si>
    <t>Nicole Miller Womens Charmeuse Top Black S</t>
  </si>
  <si>
    <t>794566328493</t>
  </si>
  <si>
    <t>Nicole Miller Womens Charmeuse Top Purple S</t>
  </si>
  <si>
    <t>794566330823</t>
  </si>
  <si>
    <t>Nicole Miller Womens Charmeuse Top Black P</t>
  </si>
  <si>
    <t>794566328486</t>
  </si>
  <si>
    <t>Marella Epoca Sleeveless Shell Blouse Deep Rose 14</t>
  </si>
  <si>
    <t>8056232660590</t>
  </si>
  <si>
    <t>CT19269</t>
  </si>
  <si>
    <t>Nicole Miller Jasmine Floral Print One-Shoul Natural P</t>
  </si>
  <si>
    <t>794566318692</t>
  </si>
  <si>
    <t>Nicole Miller Jasmine Floral Print One-Shoul Natural S</t>
  </si>
  <si>
    <t>794566318708</t>
  </si>
  <si>
    <t>CT19304</t>
  </si>
  <si>
    <t>Nicole Miller Metal Striped Cropped Bra Top Gray Stripe P</t>
  </si>
  <si>
    <t>794566332896</t>
  </si>
  <si>
    <t>S1OKB-J5524M</t>
  </si>
  <si>
    <t>Eileen Fisher Eileen Fisher Zip-Up Cardigan Seaweed L</t>
  </si>
  <si>
    <t>193481654104</t>
  </si>
  <si>
    <t>COTTON/MODAL/POLYESTER/SILK/ELASTANE</t>
  </si>
  <si>
    <t>AU8113450</t>
  </si>
  <si>
    <t>7 For All Mankind Skinny Ankle Jeans Cata 27</t>
  </si>
  <si>
    <t>190392849056</t>
  </si>
  <si>
    <t>99% COTTON/1% ELASTANE</t>
  </si>
  <si>
    <t>MADE IN ROMANIA</t>
  </si>
  <si>
    <t>Marella Printed Ankle Pants White 4</t>
  </si>
  <si>
    <t>8056232613541</t>
  </si>
  <si>
    <t>CD19219</t>
  </si>
  <si>
    <t>Nicole Miller Off-The-Shoulder Eyelet Dress Dark Green XL</t>
  </si>
  <si>
    <t>794566328387</t>
  </si>
  <si>
    <t>Weekend Max Mara Weekend Max Mara Arpa Button-D Bianco 2</t>
  </si>
  <si>
    <t>8056035896721</t>
  </si>
  <si>
    <t>Weekend Max Mara Nazione Striped Wide-Sleeve To Avorio M</t>
  </si>
  <si>
    <t>8051312256144</t>
  </si>
  <si>
    <t>Nicole Miller Garment Dyed Charmeuse Jogger Black S</t>
  </si>
  <si>
    <t>794566315295</t>
  </si>
  <si>
    <t>Nicole Miller Garment Dyed Charmeuse Jogger Black P</t>
  </si>
  <si>
    <t>794566315288</t>
  </si>
  <si>
    <t>Weekend Max Mara Okra Printed Pants Rosa 6</t>
  </si>
  <si>
    <t>8051312174622</t>
  </si>
  <si>
    <t>65% VISCOSE/18% ELASTANE/17% NYLON</t>
  </si>
  <si>
    <t>Marella Marella Striped-Sleeve Top Navy L</t>
  </si>
  <si>
    <t>8056232540403</t>
  </si>
  <si>
    <t>CT19198</t>
  </si>
  <si>
    <t>Nicole Miller Metal Striped Wrap Top Gray Stripe P</t>
  </si>
  <si>
    <t>794566315530</t>
  </si>
  <si>
    <t>CS19233</t>
  </si>
  <si>
    <t>Nicole Miller Striped Midi Skirt Gray Stripe XL</t>
  </si>
  <si>
    <t>794566315523</t>
  </si>
  <si>
    <t>CP19368</t>
  </si>
  <si>
    <t>Nicole Miller Cashmere Jogger Pants Black S</t>
  </si>
  <si>
    <t>794566334944</t>
  </si>
  <si>
    <t>Nicole Miller Cashmere Jogger Pants Black P</t>
  </si>
  <si>
    <t>794566334937</t>
  </si>
  <si>
    <t>Weekend Max Mara Printed Onore Straight-Leg Cro Rosa 6</t>
  </si>
  <si>
    <t>8056725500808</t>
  </si>
  <si>
    <t>Marella Jessy Sleeveless Dress Deep Rose 12</t>
  </si>
  <si>
    <t>8056232616818</t>
  </si>
  <si>
    <t>CD19267</t>
  </si>
  <si>
    <t>Nicole Miller Charmeuse Smocked Mini Dress Purple XL</t>
  </si>
  <si>
    <t>794566313505</t>
  </si>
  <si>
    <t>Nicole Miller Charmeuse Smocked Mini Dress Black XL</t>
  </si>
  <si>
    <t>794566313451</t>
  </si>
  <si>
    <t>CD19254</t>
  </si>
  <si>
    <t>Nicole Miller Charmeuse Midi Dress Black XL</t>
  </si>
  <si>
    <t>794566313123</t>
  </si>
  <si>
    <t>Weekend Max Mara Oblare Midi Skirt Malva Scura 2</t>
  </si>
  <si>
    <t>8051312225423</t>
  </si>
  <si>
    <t>Marella Printed Shirtdress Oxford 6</t>
  </si>
  <si>
    <t>8056232928966</t>
  </si>
  <si>
    <t>Marella Printed Shirtdress Oxford 4</t>
  </si>
  <si>
    <t>8050230001454</t>
  </si>
  <si>
    <t>Weekend Max Mara Printed Silk Pants Bianco Avorio 10</t>
  </si>
  <si>
    <t>8051312233701</t>
  </si>
  <si>
    <t>T1CH0BFG</t>
  </si>
  <si>
    <t>Tommy Jeans Short Sleeve V-Neck Bodysuit True Navy L</t>
  </si>
  <si>
    <t>195105759363</t>
  </si>
  <si>
    <t>Tommy Jeans Short Sleeve V-Neck Bodysuit True Navy M</t>
  </si>
  <si>
    <t>195105759370</t>
  </si>
  <si>
    <t>H05TM61B</t>
  </si>
  <si>
    <t>SL TOP</t>
  </si>
  <si>
    <t>190607131921</t>
  </si>
  <si>
    <t>T0FK0FEE</t>
  </si>
  <si>
    <t>Tommy Jeans Pull-On Cargo Jogger Pants Thyme L</t>
  </si>
  <si>
    <t>190607204809</t>
  </si>
  <si>
    <t>M1DAZ547</t>
  </si>
  <si>
    <t>DRAFT - PRINTED ROLL TAB Blackwhite Floral XL</t>
  </si>
  <si>
    <t>193623012175</t>
  </si>
  <si>
    <t>T1CBHDDB</t>
  </si>
  <si>
    <t>Tommy Jeans Patchwork Slip Dress Scarlet Multi L</t>
  </si>
  <si>
    <t>195105800362</t>
  </si>
  <si>
    <t>Le Suit Notched Collar Two-Button Pant Loden Green 18</t>
  </si>
  <si>
    <t>93488369646</t>
  </si>
  <si>
    <t>Le Suit Two-Button Skirt Suit GreyWhite 8</t>
  </si>
  <si>
    <t>93488341451</t>
  </si>
  <si>
    <t>Le Suit Two-Button Pinstripe Pantsuit BlackLoden Green 4</t>
  </si>
  <si>
    <t>93488370147</t>
  </si>
  <si>
    <t>Le Suit Herringbone Notch-Lapel Pantsu Steel Gray Multi 4</t>
  </si>
  <si>
    <t>93488445630</t>
  </si>
  <si>
    <t>Le Suit Two-Button Seamed Skirt Suit Viridian Blue 4</t>
  </si>
  <si>
    <t>93488513278</t>
  </si>
  <si>
    <t>Le Suit Two-Button Seamed Skirt Suit Bordeaux Red 4</t>
  </si>
  <si>
    <t>93488513438</t>
  </si>
  <si>
    <t>Le Suit Le Suit Collarless Skirt Suit BlackWhite 16</t>
  </si>
  <si>
    <t>93488341666</t>
  </si>
  <si>
    <t>Le Suit Pinstriped Single-Button Pants BlackRed Multi 4</t>
  </si>
  <si>
    <t>93488554448</t>
  </si>
  <si>
    <t>Le Suit Plus Size Jacquard Skirt Suit Mariner Blue 14W</t>
  </si>
  <si>
    <t>93488340485</t>
  </si>
  <si>
    <t>Le Suit One-Button Pantsuit Black 10</t>
  </si>
  <si>
    <t>93488705444</t>
  </si>
  <si>
    <t>Le Suit Petite Jacquard Skirt Suit Mariner Blue 4P</t>
  </si>
  <si>
    <t>93488340447</t>
  </si>
  <si>
    <t>Le Suit Striped Pantsuit Crabapple Green White 10</t>
  </si>
  <si>
    <t>93488153856</t>
  </si>
  <si>
    <t>Le Suit One-Button Pantsuit Denim Blue 6</t>
  </si>
  <si>
    <t>93488705581</t>
  </si>
  <si>
    <t>Le Suit One-Button Pantsuit Black 18</t>
  </si>
  <si>
    <t>93488705482</t>
  </si>
  <si>
    <t>RS1A520</t>
  </si>
  <si>
    <t>MARIPOSA BERMUDA SHORT</t>
  </si>
  <si>
    <t>193666940732</t>
  </si>
  <si>
    <t>Le Suit Plus Size One-Button Pant Suit Viridian Blue 16W</t>
  </si>
  <si>
    <t>93488512974</t>
  </si>
  <si>
    <t>193666940794</t>
  </si>
  <si>
    <t>193666940787</t>
  </si>
  <si>
    <t>Tahari ASL Zip-Front Peplum Skirt Suit Black Sack Stretch 2</t>
  </si>
  <si>
    <t>635273822303</t>
  </si>
  <si>
    <t>Tahari ASL Zip-Front Peplum Skirt Suit Black Sack Stretch 8</t>
  </si>
  <si>
    <t>635273822334</t>
  </si>
  <si>
    <t>TSMU0WN125</t>
  </si>
  <si>
    <t>Tahari ASL Wrap Jacket Dress Suit Navy 2</t>
  </si>
  <si>
    <t>635273827230</t>
  </si>
  <si>
    <t>TSMU1WN012</t>
  </si>
  <si>
    <t>Tahari ASL Embellished Dress Suit Lapis 4</t>
  </si>
  <si>
    <t>663309998814</t>
  </si>
  <si>
    <t>TSMU1WN171</t>
  </si>
  <si>
    <t>Tahari ASL Windowpane-Check Belted Skirt Azalea Ivory 10</t>
  </si>
  <si>
    <t>663309999354</t>
  </si>
  <si>
    <t>TSMS1WN165</t>
  </si>
  <si>
    <t>Tahari ASL Cropped Jacket Dress Suit Royal 2</t>
  </si>
  <si>
    <t>663309973170</t>
  </si>
  <si>
    <t>Tahari ASL Collared Skirt Suit Dark Pomegranate 16</t>
  </si>
  <si>
    <t>635273853284</t>
  </si>
  <si>
    <t>Nicole Miller Garment Dyed Charmeuse Jogger Purple L</t>
  </si>
  <si>
    <t>794566315363</t>
  </si>
  <si>
    <t>Riley Rae Valerie Ribbed Lettuce-Edge To Light Rose XXL</t>
  </si>
  <si>
    <t>195203512501</t>
  </si>
  <si>
    <t>J1AHN139</t>
  </si>
  <si>
    <t>Tommy Hilfiger Logo-Embroidered Polo Shirt Saturday Stripes- Bridal Rose XS</t>
  </si>
  <si>
    <t>195105818770</t>
  </si>
  <si>
    <t>J7RH0139</t>
  </si>
  <si>
    <t>Tommy Hilfiger Short-Sleeve V-Neck Tee Stone Grey Heather XL</t>
  </si>
  <si>
    <t>192114640385</t>
  </si>
  <si>
    <t>Champion Cropped Logo T-Shirt Athletic N XXL</t>
  </si>
  <si>
    <t>194164671098</t>
  </si>
  <si>
    <t>JUNK FOOD/HYBRID PROMOTIONS LLC</t>
  </si>
  <si>
    <t>IMPULSE KNITS</t>
  </si>
  <si>
    <t>12UXCCV0046</t>
  </si>
  <si>
    <t>Junk Food Cotton Coca-Cola-Graphic T-Shi Luche Tie Dye S</t>
  </si>
  <si>
    <t>194973878800</t>
  </si>
  <si>
    <t>J3302RYD1226Y</t>
  </si>
  <si>
    <t>Dickies Juniors Cotton Cropped Stripe Lotus Pink Stripe L</t>
  </si>
  <si>
    <t>792831388302</t>
  </si>
  <si>
    <t>W5950P586158</t>
  </si>
  <si>
    <t>Champion Printed Top Pink Zebra XS</t>
  </si>
  <si>
    <t>77478967210</t>
  </si>
  <si>
    <t>7230TQ9PD1</t>
  </si>
  <si>
    <t>Kingston Grey Trendy Plus Size Twist-Front M Purple 2X</t>
  </si>
  <si>
    <t>708008678916</t>
  </si>
  <si>
    <t>TP10549T</t>
  </si>
  <si>
    <t>Tommy Hilfiger Strappy Logo-Band Sports Bra Black M</t>
  </si>
  <si>
    <t>195105706831</t>
  </si>
  <si>
    <t>Tommy Hilfiger Strappy Logo-Band Sports Bra Black L</t>
  </si>
  <si>
    <t>195105706824</t>
  </si>
  <si>
    <t>Tommy Hilfiger Strappy Logo-Band Sports Bra Black S</t>
  </si>
  <si>
    <t>195105706848</t>
  </si>
  <si>
    <t>Tommy Hilfiger Womens Knotted Tank Top Scarlet S</t>
  </si>
  <si>
    <t>190607160013</t>
  </si>
  <si>
    <t>Tommy Hilfiger Womens Cutout-Back T-Shirt White Stone Heather XS</t>
  </si>
  <si>
    <t>190607155477</t>
  </si>
  <si>
    <t>100% COTTON</t>
  </si>
  <si>
    <t>J9EHH825</t>
  </si>
  <si>
    <t>Tommy Hilfiger Cotton Printed Polo Top Diamond Ikat- Bright Whitebre XS</t>
  </si>
  <si>
    <t>192114340063</t>
  </si>
  <si>
    <t>J7GH0490</t>
  </si>
  <si>
    <t>Tommy Hilfiger Embroidered T-Shirt Scarlet XL</t>
  </si>
  <si>
    <t>192114511760</t>
  </si>
  <si>
    <t>TP00306T</t>
  </si>
  <si>
    <t>Tommy Hilfiger Slim-Fit Logo T-Shirt White S</t>
  </si>
  <si>
    <t>195105778173</t>
  </si>
  <si>
    <t>Tommy Hilfiger Strappy Logo-Band Sports Bra Black XS</t>
  </si>
  <si>
    <t>195105706855</t>
  </si>
  <si>
    <t>Tommy Hilfiger Strappy Logo-Band Sports Bra Black XL</t>
  </si>
  <si>
    <t>195105706817</t>
  </si>
  <si>
    <t>Tommy Hilfiger Womens Dream Big Knotted T-Sh White XS</t>
  </si>
  <si>
    <t>190607159970</t>
  </si>
  <si>
    <t>GUESS Logo Baby T-Shirt Asphalt Gray M</t>
  </si>
  <si>
    <t>195124091550</t>
  </si>
  <si>
    <t>GUESS Logo Baby T-Shirt Asphalt Gray L</t>
  </si>
  <si>
    <t>195124091567</t>
  </si>
  <si>
    <t>GUESS Logo Baby T-Shirt Asphalt Gray XS</t>
  </si>
  <si>
    <t>195124091512</t>
  </si>
  <si>
    <t>W5687G586431</t>
  </si>
  <si>
    <t>Champion Womens Racerback Logo Tank To Vivid Fuchsia L</t>
  </si>
  <si>
    <t>77478972337</t>
  </si>
  <si>
    <t>Champion Semi-Sheer Racerback Tank Top Black L</t>
  </si>
  <si>
    <t>77478991659</t>
  </si>
  <si>
    <t>Champion Semi-Sheer Racerback Tank Top Black XS</t>
  </si>
  <si>
    <t>77478991628</t>
  </si>
  <si>
    <t>Champion Womens Racerback Logo Tank To Vivid Fuchsia M</t>
  </si>
  <si>
    <t>77478972320</t>
  </si>
  <si>
    <t>Champion Womens Racerback Logo Tank To Vivid Fuchsia XS</t>
  </si>
  <si>
    <t>77478972306</t>
  </si>
  <si>
    <t>Champion Womens Racerback Logo Tank To Vivid Fuchsia S</t>
  </si>
  <si>
    <t>77478972313</t>
  </si>
  <si>
    <t>Champion Womens Racerback Logo Tank To Vivid Fuchsia XXL</t>
  </si>
  <si>
    <t>77478972351</t>
  </si>
  <si>
    <t>Champion Semi-Sheer Racerback Tank Top Black XXL</t>
  </si>
  <si>
    <t>77478991673</t>
  </si>
  <si>
    <t>Champion Womens Racerback Logo Tank To Vivid Fuchsia XL</t>
  </si>
  <si>
    <t>77478972344</t>
  </si>
  <si>
    <t>B1429G551684</t>
  </si>
  <si>
    <t>Champion Womens The Authentic Printed Blackzebra XS</t>
  </si>
  <si>
    <t>77478954173</t>
  </si>
  <si>
    <t>M1EHV083</t>
  </si>
  <si>
    <t>Calvin Klein Calvin Klein Padded-Shoulder S Hibiscus M</t>
  </si>
  <si>
    <t>195046044818</t>
  </si>
  <si>
    <t>Riley Rae Kaia Ribbed Lettuce-Edge Top Preppy Navy XS</t>
  </si>
  <si>
    <t>195203513010</t>
  </si>
  <si>
    <t>MGAB1001A</t>
  </si>
  <si>
    <t>Madden Girl Juniors Smocked-Waist Cropped Indigo XL</t>
  </si>
  <si>
    <t>193290741583</t>
  </si>
  <si>
    <t>GLORIA VANDERBILT/ONE JEANSWEAR GRP</t>
  </si>
  <si>
    <t>GL VAN DENIM</t>
  </si>
  <si>
    <t>Gloria Vanderbilt Gloria Vanderbilt Womens Crop Dark Blue 10</t>
  </si>
  <si>
    <t>8866848415</t>
  </si>
  <si>
    <t>Riley Rae Rosalie Ruffle-Cuff Top Rich Blue M</t>
  </si>
  <si>
    <t>195203335780</t>
  </si>
  <si>
    <t>W5669G586165</t>
  </si>
  <si>
    <t>Champion Womens Authentic Crop Top White XS</t>
  </si>
  <si>
    <t>194164680984</t>
  </si>
  <si>
    <t>Champion Womens Authentic Crop Top White XXL</t>
  </si>
  <si>
    <t>194164686337</t>
  </si>
  <si>
    <t>Champion Womens Authentic Crop Top White M</t>
  </si>
  <si>
    <t>194164686306</t>
  </si>
  <si>
    <t>Champion Womens Authentic Crop Top White S</t>
  </si>
  <si>
    <t>194164680991</t>
  </si>
  <si>
    <t>Champion Womens Authentic Crop Top White XL</t>
  </si>
  <si>
    <t>194164686320</t>
  </si>
  <si>
    <t>Champion Womens Authentic Crop Top White L</t>
  </si>
  <si>
    <t>194164686313</t>
  </si>
  <si>
    <t>T0CH0ZHG</t>
  </si>
  <si>
    <t>Tommy Jeans Solid Striped-Sleeve Sweater Porcelin M</t>
  </si>
  <si>
    <t>190607308651</t>
  </si>
  <si>
    <t>TP07179K</t>
  </si>
  <si>
    <t>Tommy Hilfiger Tommy Hilfiger Sport French Te Pearl Grey Heather M</t>
  </si>
  <si>
    <t>192114014438</t>
  </si>
  <si>
    <t>W4909586417</t>
  </si>
  <si>
    <t>Champion Color Logo Middleweight Hoodie Deep Forte Blue XS</t>
  </si>
  <si>
    <t>77478973242</t>
  </si>
  <si>
    <t>COTTON/ELASTANE</t>
  </si>
  <si>
    <t>J9RH0612</t>
  </si>
  <si>
    <t>Tommy Hilfiger Tommy Hilfiger Long-Sleeve Pol Sky Captain L</t>
  </si>
  <si>
    <t>192114161170</t>
  </si>
  <si>
    <t>Riley Rae Mabel Floral-Print Pants Rich Black XXL</t>
  </si>
  <si>
    <t>195203569345</t>
  </si>
  <si>
    <t>Riley Rae Amber Sun Tropical-Print Short Ruby Blush XXL</t>
  </si>
  <si>
    <t>195203796925</t>
  </si>
  <si>
    <t>W1GP34R49A9</t>
  </si>
  <si>
    <t>GUESS Camryn Sleeveless Halter Top WISPY PINK L</t>
  </si>
  <si>
    <t>195124169457</t>
  </si>
  <si>
    <t>MEDIUN RED</t>
  </si>
  <si>
    <t>P02A7CLZ</t>
  </si>
  <si>
    <t>DKNY V-Neck Chiffon-Trim Top Paradi Red XS</t>
  </si>
  <si>
    <t>795730463064</t>
  </si>
  <si>
    <t>P02A8CLZ</t>
  </si>
  <si>
    <t>DKNY Floral-Print V-Neck Top Ivory Herb Multi M</t>
  </si>
  <si>
    <t>795730520743</t>
  </si>
  <si>
    <t>TP10591T</t>
  </si>
  <si>
    <t>Tommy Hilfiger Tommy Hilfiger Sport Embroider True Blue Heather L</t>
  </si>
  <si>
    <t>195105826584</t>
  </si>
  <si>
    <t>Anne Klein Denim and Sport Womens Lucile Button Down Shi NYC White XLarge</t>
  </si>
  <si>
    <t>29023524423</t>
  </si>
  <si>
    <t>PF1X0110</t>
  </si>
  <si>
    <t>Calvin Klein Plus Size Tie-Dye Logo T-Shirt Kensington Peach Kiss 2X</t>
  </si>
  <si>
    <t>195046162888</t>
  </si>
  <si>
    <t>Kasper Printed Sleeveless Top FogBlack S</t>
  </si>
  <si>
    <t>93488752240</t>
  </si>
  <si>
    <t>J9SW0236</t>
  </si>
  <si>
    <t>Tommy Hilfiger Striped Bermuda Shorts Nickel 2</t>
  </si>
  <si>
    <t>192114515140</t>
  </si>
  <si>
    <t>T1BD0BAZ</t>
  </si>
  <si>
    <t>Tommy Jeans Cap-Sleeve Logo Dress Sky Captain XS</t>
  </si>
  <si>
    <t>195105752111</t>
  </si>
  <si>
    <t>Tommy Jeans Cap-Sleeve Logo Dress Sky Captain M</t>
  </si>
  <si>
    <t>195105752098</t>
  </si>
  <si>
    <t>W1YP00R2V20</t>
  </si>
  <si>
    <t>GUESS Preya Plaited Bodysuit Mossy Green Multi M</t>
  </si>
  <si>
    <t>195124305701</t>
  </si>
  <si>
    <t>O1BA16ZZ04M</t>
  </si>
  <si>
    <t>GUESS Short-Sleeve Seamless Top Soft Purple Melange ML</t>
  </si>
  <si>
    <t>7620207503505</t>
  </si>
  <si>
    <t>GUESS Preya Plaited Bodysuit Mossy Green Multi L</t>
  </si>
  <si>
    <t>195124305695</t>
  </si>
  <si>
    <t>Jones New York Womens Serenity Knit Three Qu Pink Lotus XLarge</t>
  </si>
  <si>
    <t>91307222196</t>
  </si>
  <si>
    <t>T03TX23B</t>
  </si>
  <si>
    <t>Calvin Klein Petite Printed V-Neck Blouse Blue Multi PXL</t>
  </si>
  <si>
    <t>194414526512</t>
  </si>
  <si>
    <t>Tommy Hilfiger Womens Star-Print Cropped Leg Black S</t>
  </si>
  <si>
    <t>190607159659</t>
  </si>
  <si>
    <t>J0FS0818</t>
  </si>
  <si>
    <t>Tommy Hilfiger Cotton Basket-Weave-Knit Tank Samba S</t>
  </si>
  <si>
    <t>190607247424</t>
  </si>
  <si>
    <t>Tommy Hilfiger Womens Capri Jogger Pants White Stone Heather XS</t>
  </si>
  <si>
    <t>190607154203</t>
  </si>
  <si>
    <t>Tommy Hilfiger Womens Star-Print Cropped Leg Black XL</t>
  </si>
  <si>
    <t>190607159628</t>
  </si>
  <si>
    <t>0</t>
  </si>
  <si>
    <t>J5002OT</t>
  </si>
  <si>
    <t>Dickies Juniors Frayed-Hem Cropped Pa Lotus Pink 0</t>
  </si>
  <si>
    <t>792831388708</t>
  </si>
  <si>
    <t>1.STATE 1.STATE Cropped Knit Cut-Out T Rose Blossom Small</t>
  </si>
  <si>
    <t>194288232441</t>
  </si>
  <si>
    <t>Nine West Flare-Hem Pencil Skirt Crimson 4</t>
  </si>
  <si>
    <t>93487723050</t>
  </si>
  <si>
    <t>POLYESTER/ELASTANE/VISCOSE</t>
  </si>
  <si>
    <t>Nine West Skinny-Leg Stretch Pants Black 18</t>
  </si>
  <si>
    <t>782417287532</t>
  </si>
  <si>
    <t>L1219TTD0811B</t>
  </si>
  <si>
    <t>Dickies Dickies Juniors Tie-Dye Sweat Apricot Swirl M</t>
  </si>
  <si>
    <t>792831378242</t>
  </si>
  <si>
    <t>UF1TYG26</t>
  </si>
  <si>
    <t>DKNY Pleated Tie-Neck Top Parchment Multi S</t>
  </si>
  <si>
    <t>794278474068</t>
  </si>
  <si>
    <t>TSMS1WT279</t>
  </si>
  <si>
    <t>Tahari ASL Printed Smocked Blouse Shocking Pink Multi XLarge</t>
  </si>
  <si>
    <t>663309976737</t>
  </si>
  <si>
    <t>M1DHP802</t>
  </si>
  <si>
    <t>Calvin Klein Cutout Square-Neck Cotton Top White XL</t>
  </si>
  <si>
    <t>195046040452</t>
  </si>
  <si>
    <t>M1DVH202</t>
  </si>
  <si>
    <t>Calvin Klein Pull-On Shorts White XS</t>
  </si>
  <si>
    <t>195046071999</t>
  </si>
  <si>
    <t>7M1089</t>
  </si>
  <si>
    <t>Seven7 Mixed-Media Mid-Rise Joggers Cedar Wood L</t>
  </si>
  <si>
    <t>194278258772</t>
  </si>
  <si>
    <t>TOMMY WOMENS</t>
  </si>
  <si>
    <t>W9SWN236</t>
  </si>
  <si>
    <t>Tommy Hilfiger Plus Size Hollywood Chino Shor BlueWhite 14W</t>
  </si>
  <si>
    <t>192114551445</t>
  </si>
  <si>
    <t>T1BH0BHZ</t>
  </si>
  <si>
    <t>Tommy Jeans Logo Hoodie Sweatshirt Sky Captain M</t>
  </si>
  <si>
    <t>195105798485</t>
  </si>
  <si>
    <t>T0EM0BCG</t>
  </si>
  <si>
    <t>Tommy Jeans Off-the-Shoulder Smocked Top Light Wash M</t>
  </si>
  <si>
    <t>190607206445</t>
  </si>
  <si>
    <t>Tommy Jeans Logo Hoodie Sweatshirt Sky Captain S</t>
  </si>
  <si>
    <t>195105798492</t>
  </si>
  <si>
    <t>P0FH7FIN</t>
  </si>
  <si>
    <t>DKNY Layered-Hem Mixed-Media Top Black M</t>
  </si>
  <si>
    <t>795730472783</t>
  </si>
  <si>
    <t>P1GQSJ34</t>
  </si>
  <si>
    <t>DKNY DKNY Puff-Sleeve Logo Top Compactbordeaux Multi S</t>
  </si>
  <si>
    <t>794278010389</t>
  </si>
  <si>
    <t>190607972241</t>
  </si>
  <si>
    <t>190607972982</t>
  </si>
  <si>
    <t>Tommy Hilfiger Tommy Hilfiger Sport Womens F Pearl Grey Heather S</t>
  </si>
  <si>
    <t>192114232955</t>
  </si>
  <si>
    <t>W0GH76WCUD0</t>
  </si>
  <si>
    <t>GUESS Nami Flutter-Sleeve Top Thin Stripe Lilac Combo S</t>
  </si>
  <si>
    <t>7618584423165</t>
  </si>
  <si>
    <t>J1BH0250</t>
  </si>
  <si>
    <t>Tommy Hilfiger Lace-Inset Pullover Top Sky Captain M</t>
  </si>
  <si>
    <t>195105785386</t>
  </si>
  <si>
    <t>Nine West Jacquard Skirt Crimson Redblack S</t>
  </si>
  <si>
    <t>93487723104</t>
  </si>
  <si>
    <t>1.STATE 1.STATE Button Front Balloon S Floral Glow Small</t>
  </si>
  <si>
    <t>194288215604</t>
  </si>
  <si>
    <t>81114602C3</t>
  </si>
  <si>
    <t>1.STATE Wrap Midi Skirt Rich Black XS</t>
  </si>
  <si>
    <t>195203670508</t>
  </si>
  <si>
    <t>P0DALFYG</t>
  </si>
  <si>
    <t>DKNY DKNY Dropped-Shoulder Linen Cr Muslin XL</t>
  </si>
  <si>
    <t>795730520262</t>
  </si>
  <si>
    <t>1.STATE Wrap Midi Skirt Soft Ecru M</t>
  </si>
  <si>
    <t>195203670591</t>
  </si>
  <si>
    <t>UJ9P7623</t>
  </si>
  <si>
    <t>DKNY Tie-Front Ankle Pants Black 8</t>
  </si>
  <si>
    <t>795731892030</t>
  </si>
  <si>
    <t>Emerald Sundae Trendy Plus Size Cold-Shoulder Red 18</t>
  </si>
  <si>
    <t>887840457863</t>
  </si>
  <si>
    <t>MY6012CO</t>
  </si>
  <si>
    <t>Seven7 Shortalls Dusty Olive XL</t>
  </si>
  <si>
    <t>194278195336</t>
  </si>
  <si>
    <t>33RRM160</t>
  </si>
  <si>
    <t>Tahari ASL Solid Pencil Skirt Black 8</t>
  </si>
  <si>
    <t>884449486744</t>
  </si>
  <si>
    <t>Kasper Pencil Skirt Lily White 14</t>
  </si>
  <si>
    <t>93488101864</t>
  </si>
  <si>
    <t>BODY: 99% POLYESTER/1% METALLIC THREAD; STRAPS: 100% POLYESTER; LINING: 100% POLYESTER</t>
  </si>
  <si>
    <t>MADE IN INDONESIA</t>
  </si>
  <si>
    <t>P0EA5DJM</t>
  </si>
  <si>
    <t>DKNY Metallic Ruched Camisole Arizona Earth XL</t>
  </si>
  <si>
    <t>795730483338</t>
  </si>
  <si>
    <t>ELEVEN PARIS Make Fashion Not Friends Tie-D Mauveglow Tie Dye XS</t>
  </si>
  <si>
    <t>829468930007</t>
  </si>
  <si>
    <t>H18S4445</t>
  </si>
  <si>
    <t>Tommy Hilfiger Faux-Suede A-Line Skirt Cognac 14</t>
  </si>
  <si>
    <t>195105506325</t>
  </si>
  <si>
    <t>1.STATE Off-the-Shoulder Fuzzy Sweater Soft Ecru L</t>
  </si>
  <si>
    <t>193768979159</t>
  </si>
  <si>
    <t>Nine West One-Button Notch-Collar Jacket Granite 4</t>
  </si>
  <si>
    <t>762729821532</t>
  </si>
  <si>
    <t>W5671586158</t>
  </si>
  <si>
    <t>Champion Campus Tie-Dyed French Terry H Mini Batik Check XXL</t>
  </si>
  <si>
    <t>77478918014</t>
  </si>
  <si>
    <t>Champion Campus Tie-Dyed French Terry H Mini Batik Check M</t>
  </si>
  <si>
    <t>77478917987</t>
  </si>
  <si>
    <t>Champion Campus Tie-Dyed French Terry H Mini Batik Check L</t>
  </si>
  <si>
    <t>77478917994</t>
  </si>
  <si>
    <t>Champion Campus Tie-Dyed French Terry H Mini Batik Check XS</t>
  </si>
  <si>
    <t>77478917963</t>
  </si>
  <si>
    <t>POLYESTER/ELASTANE; POCKET LINING: POLYESTER</t>
  </si>
  <si>
    <t>14 P</t>
  </si>
  <si>
    <t>Kasper Tab-Waist Trouser Pants GreyBlack 14P</t>
  </si>
  <si>
    <t>716357726646</t>
  </si>
  <si>
    <t>W1DAJ547</t>
  </si>
  <si>
    <t>Calvin Klein Plus Size Paisley-Print Split- Grey Combo 1X</t>
  </si>
  <si>
    <t>195046060818</t>
  </si>
  <si>
    <t>W1GR20Z2UJ0</t>
  </si>
  <si>
    <t>GUESS Camille V-Neck Cardigan Fade To Jade L</t>
  </si>
  <si>
    <t>195124138996</t>
  </si>
  <si>
    <t>L1BH6809</t>
  </si>
  <si>
    <t>Karl Lagerfeld Paris Karl Lagerfeld Bishop Sleeve V Charcoal Small</t>
  </si>
  <si>
    <t>194775763106</t>
  </si>
  <si>
    <t>L1AHZ823</t>
  </si>
  <si>
    <t>Karl Lagerfeld Paris Karl Lagerfeld Paris Short Sle Charcoal M</t>
  </si>
  <si>
    <t>194775769306</t>
  </si>
  <si>
    <t>E03AFG60</t>
  </si>
  <si>
    <t>DKNY Jeans Juniors Acid Wash Hoodie Washed Teal XXS</t>
  </si>
  <si>
    <t>795728942816</t>
  </si>
  <si>
    <t>7961UY5PD1</t>
  </si>
  <si>
    <t>City Studios Plus Size Glittering Fit-and-F Brt.blue 22W</t>
  </si>
  <si>
    <t>708008696811</t>
  </si>
  <si>
    <t>Riley Rae Harlow Striped-Lining Blazer Gilded Yellow L</t>
  </si>
  <si>
    <t>195203162294</t>
  </si>
  <si>
    <t>BAM by Betsy Adam Hoodie with Removable Mask Blackblack XS</t>
  </si>
  <si>
    <t>195170020054</t>
  </si>
  <si>
    <t>BAM by Betsy Adam Hoodie with Removable Mask Blackblack S</t>
  </si>
  <si>
    <t>195170020061</t>
  </si>
  <si>
    <t>BAM by Betsy Adam Hoodie with Built-In Mask, Cre Yellow M</t>
  </si>
  <si>
    <t>195170019072</t>
  </si>
  <si>
    <t>P0EK7FXQ</t>
  </si>
  <si>
    <t>DKNY Printed Pull-On Wide-Leg Pants Kis Bt Cho XS</t>
  </si>
  <si>
    <t>795730485097</t>
  </si>
  <si>
    <t>70% RAYON/30% LINEN</t>
  </si>
  <si>
    <t>81115742H3</t>
  </si>
  <si>
    <t>1.STATE Cotton Striped Bodycon Dress Sand 2</t>
  </si>
  <si>
    <t>195203608501</t>
  </si>
  <si>
    <t>81115739H4</t>
  </si>
  <si>
    <t>1.STATE Wrap-Front Mini Dress Ultra White 6</t>
  </si>
  <si>
    <t>195203672922</t>
  </si>
  <si>
    <t>BAM by Betsy Adam Side-Zip Hoodie with Removable Light Blue M</t>
  </si>
  <si>
    <t>195170020177</t>
  </si>
  <si>
    <t>BAM by Betsy Adam Side-Zip Hoodie with Removable Black XS</t>
  </si>
  <si>
    <t>195170020108</t>
  </si>
  <si>
    <t>W1GAZ518</t>
  </si>
  <si>
    <t>Calvin Klein Plus Size Faux-Wrap Peplum Top Sand Combo 1X</t>
  </si>
  <si>
    <t>195841726377</t>
  </si>
  <si>
    <t>O1GA29KAMN2</t>
  </si>
  <si>
    <t>GUESS Graphic Cropped Hoodie Soft Purple S</t>
  </si>
  <si>
    <t>7618483395433</t>
  </si>
  <si>
    <t>W0YD29D4400</t>
  </si>
  <si>
    <t>GUESS Belted Bustier Shorts Optic White 28</t>
  </si>
  <si>
    <t>193327678622</t>
  </si>
  <si>
    <t>W1YD12WE340</t>
  </si>
  <si>
    <t>GUESS Remi Gauze Shorts Pure White Multi L</t>
  </si>
  <si>
    <t>195124353245</t>
  </si>
  <si>
    <t>W0GH55RCWW0</t>
  </si>
  <si>
    <t>GUESS Lumi Eyelet Cotton Top Frosted White M</t>
  </si>
  <si>
    <t>193327469091</t>
  </si>
  <si>
    <t>GUESS Remi Gauze Shorts Pure White Multi XS</t>
  </si>
  <si>
    <t>195124353207</t>
  </si>
  <si>
    <t>BAM103</t>
  </si>
  <si>
    <t>BAM by Betsy Adam Zippered Hoodie with Removable Sand M</t>
  </si>
  <si>
    <t>195170020320</t>
  </si>
  <si>
    <t>OSFA</t>
  </si>
  <si>
    <t>Anne Klein Plus Size Big Dot Chiffon Jack Siren BlueNYC White ONE SIZE</t>
  </si>
  <si>
    <t>93488332824</t>
  </si>
  <si>
    <t>47% COTTON/47% MODAL/6% SPANDEX</t>
  </si>
  <si>
    <t>RS0A300</t>
  </si>
  <si>
    <t>Splendid Wide-Band Leggings Black 8</t>
  </si>
  <si>
    <t>193666215694</t>
  </si>
  <si>
    <t>P0KH7ILR</t>
  </si>
  <si>
    <t>DKNY DKNY Draped Dolman-Sleeve Hood Avenue grey L</t>
  </si>
  <si>
    <t>795728845049</t>
  </si>
  <si>
    <t>Tommy Hilfiger Pinstriped Cargo Pants Navy Ivory 16</t>
  </si>
  <si>
    <t>195105507759</t>
  </si>
  <si>
    <t>KARL LAGERFELD/G III LEATHER FASH</t>
  </si>
  <si>
    <t>L0WK7210</t>
  </si>
  <si>
    <t>Karl Lagerfeld Paris Paris Belted Skinny Pants Black 4</t>
  </si>
  <si>
    <t>190169108720</t>
  </si>
  <si>
    <t>W0FAZ669</t>
  </si>
  <si>
    <t>Calvin Klein Plus Size Sheer Floral-Print D Watermelon Multi 0X</t>
  </si>
  <si>
    <t>194414028788</t>
  </si>
  <si>
    <t>O1GA47KAMN2</t>
  </si>
  <si>
    <t>GUESS GUESS Wide-Leg Scuba Pants Skyline Light Blue XL</t>
  </si>
  <si>
    <t>7618483591217</t>
  </si>
  <si>
    <t>W1YH47R1LU5</t>
  </si>
  <si>
    <t>GUESS Vienna Off-The-Shoulder Smocke Remarkable Blue Multi S</t>
  </si>
  <si>
    <t>195124299277</t>
  </si>
  <si>
    <t>W1GK04R8U00</t>
  </si>
  <si>
    <t>GUESS Dani Lace Bodycon Dress Jet Black M</t>
  </si>
  <si>
    <t>195124200310</t>
  </si>
  <si>
    <t>INC International Concepts Floral-Print Chiffon A-Line Dr Black Coastal Multi 8</t>
  </si>
  <si>
    <t>93488288398</t>
  </si>
  <si>
    <t>INC International Concepts Chiffon Toile Midi Dress Ivory Dark Rose 10</t>
  </si>
  <si>
    <t>93488253471</t>
  </si>
  <si>
    <t>Nine West Toggle-Closure Jacket Steel Gray 14</t>
  </si>
  <si>
    <t>93487941348</t>
  </si>
  <si>
    <t>From Grayscale Tennis Top Brown XS</t>
  </si>
  <si>
    <t>850029373513</t>
  </si>
  <si>
    <t>Splendid Pullover Sweatshirt Rosebud XL</t>
  </si>
  <si>
    <t>193666869590</t>
  </si>
  <si>
    <t>Splendid Pullover Sweatshirt Rosebud L</t>
  </si>
  <si>
    <t>193666869569</t>
  </si>
  <si>
    <t>Splendid Pullover Sweatshirt Rosebud S</t>
  </si>
  <si>
    <t>193666869583</t>
  </si>
  <si>
    <t>Splendid Pullover Sweatshirt Rosebud XS</t>
  </si>
  <si>
    <t>193666869606</t>
  </si>
  <si>
    <t>Splendid Drawstring Joggers Sky XL</t>
  </si>
  <si>
    <t>193666870145</t>
  </si>
  <si>
    <t>Splendid Drawstring Joggers Sky M</t>
  </si>
  <si>
    <t>193666870121</t>
  </si>
  <si>
    <t>Splendid Drawstring Joggers Sky L</t>
  </si>
  <si>
    <t>193666870114</t>
  </si>
  <si>
    <t>Splendid Drawstring Joggers Rosebud M</t>
  </si>
  <si>
    <t>193666869972</t>
  </si>
  <si>
    <t>Splendid Drawstring Joggers Rosebud L</t>
  </si>
  <si>
    <t>193666869965</t>
  </si>
  <si>
    <t>Splendid Drawstring Joggers Rosebud S</t>
  </si>
  <si>
    <t>193666869989</t>
  </si>
  <si>
    <t>Splendid Drawstring Joggers Rosebud XL</t>
  </si>
  <si>
    <t>193666869996</t>
  </si>
  <si>
    <t>Morgan Company Plus Size Mesh-Inset Gown Peacock 20W</t>
  </si>
  <si>
    <t>707762078901</t>
  </si>
  <si>
    <t>Splendid Pullover Sweatshirt Natural XL</t>
  </si>
  <si>
    <t>193666869545</t>
  </si>
  <si>
    <t>SAM EDELMAN DENIM/CENTRIC WEST LLC</t>
  </si>
  <si>
    <t>ESWXLK2004</t>
  </si>
  <si>
    <t>Sam Edelman The Drew Jean Shorts Lanikai 0</t>
  </si>
  <si>
    <t>193653218196</t>
  </si>
  <si>
    <t>W1YAB8R49T2</t>
  </si>
  <si>
    <t>GUESS Cropped Straight-Leg Jeans Blue Moon 29</t>
  </si>
  <si>
    <t>195124295507</t>
  </si>
  <si>
    <t>GUESS Engineered Ribbed Midi Dress Dove White XL</t>
  </si>
  <si>
    <t>193327512216</t>
  </si>
  <si>
    <t>GUESS 1981 Cropped Skinny Jeans Sunset Orange Multi 29</t>
  </si>
  <si>
    <t>195124294975</t>
  </si>
  <si>
    <t>W1GK00R13G8</t>
  </si>
  <si>
    <t>GUESS GUESS Cutout-Back Sleeveless S Bleached Blue Multi M</t>
  </si>
  <si>
    <t>195124168276</t>
  </si>
  <si>
    <t>GUESS Engineered Ribbed Midi Dress Dove White S</t>
  </si>
  <si>
    <t>193327512223</t>
  </si>
  <si>
    <t>O1YA18MC049</t>
  </si>
  <si>
    <t>GUESS Active Amethyst Mesh-Trim Zip Blue Graphite Grey S</t>
  </si>
  <si>
    <t>7618483942972</t>
  </si>
  <si>
    <t>W1YK05R2UK0</t>
  </si>
  <si>
    <t>GUESS Haley Ribbed Bodycon Dress Blue Yander S</t>
  </si>
  <si>
    <t>195124358455</t>
  </si>
  <si>
    <t>SHELL:POLYESTER/RAYON/VISCOSA/SPANDEX. LININIG:POLYESTER</t>
  </si>
  <si>
    <t>W3312EYA</t>
  </si>
  <si>
    <t>DKNY Skinny Ankle Pants Gray 18</t>
  </si>
  <si>
    <t>802892291616</t>
  </si>
  <si>
    <t>L1AK9265</t>
  </si>
  <si>
    <t>Karl Lagerfeld Paris Karl Lagerfeld Paris Belted Jo Black 2</t>
  </si>
  <si>
    <t>194775749179</t>
  </si>
  <si>
    <t>Splendid Hoodie Top Sky L</t>
  </si>
  <si>
    <t>193666772746</t>
  </si>
  <si>
    <t>ELEVEN PARIS Cotton Jogger Pants White XS</t>
  </si>
  <si>
    <t>829468909973</t>
  </si>
  <si>
    <t>Splendid Hoodie Top Natural L</t>
  </si>
  <si>
    <t>193666772548</t>
  </si>
  <si>
    <t>Le Suit Crewneck Flare-Hem Skirt Suit Grape 4</t>
  </si>
  <si>
    <t>93487744482</t>
  </si>
  <si>
    <t>TAYLOR/DANNY &amp; NICOLE</t>
  </si>
  <si>
    <t>10AV/MD/RG</t>
  </si>
  <si>
    <t>1979M</t>
  </si>
  <si>
    <t>Taylor V-Neck Flutter-Sleeve Asymmetr Blush Nude 10</t>
  </si>
  <si>
    <t>194686004046</t>
  </si>
  <si>
    <t>W0YAJ3D2KM4</t>
  </si>
  <si>
    <t>GUESS Sexy Curve Embellished Skinny Od Black 24</t>
  </si>
  <si>
    <t>193327733680</t>
  </si>
  <si>
    <t>W1YA34R4660</t>
  </si>
  <si>
    <t>GUESS Braided-Waist Skinny Jeans Happy Hour 24</t>
  </si>
  <si>
    <t>195124294609</t>
  </si>
  <si>
    <t>J1AJ0828</t>
  </si>
  <si>
    <t>Tommy Hilfiger Colorblocked Hooded Jacket Sky Captain Multi XS</t>
  </si>
  <si>
    <t>195105802342</t>
  </si>
  <si>
    <t>W0EBF956</t>
  </si>
  <si>
    <t>Calvin Klein Plus Size Belted Sleeveless Ju Soft WhiteLatte 18W</t>
  </si>
  <si>
    <t>194414236541</t>
  </si>
  <si>
    <t>JACKET: SHELL &amp; LINING: POLYESTER; PANTS: SHELL &amp; LINING: POLYESTER</t>
  </si>
  <si>
    <t>Le Suit Two-Button Dot-Print Pantsuit ButtercreamBlack 6</t>
  </si>
  <si>
    <t>93487309179</t>
  </si>
  <si>
    <t>VC0M1072</t>
  </si>
  <si>
    <t>Vince Camuto Ruffled Chiffon Halter Dress Periwinkle 4</t>
  </si>
  <si>
    <t>689886062809</t>
  </si>
  <si>
    <t>T0AK2IHZ</t>
  </si>
  <si>
    <t>Tommy Jeans Logo Denim Overalls Boundary 28</t>
  </si>
  <si>
    <t>190607354726</t>
  </si>
  <si>
    <t>Tommy Hilfiger One-Button Blazer Midnight 0</t>
  </si>
  <si>
    <t>195105705414</t>
  </si>
  <si>
    <t>Le Suit Plus Size Mini-Diamond Collarl BlackWhite 16W</t>
  </si>
  <si>
    <t>93488341819</t>
  </si>
  <si>
    <t>W1YK34RBMS2</t>
  </si>
  <si>
    <t>GUESS Tristian Belted Dress Face M Bleached Tropical Print 2</t>
  </si>
  <si>
    <t>195124303738</t>
  </si>
  <si>
    <t>W0EB8921</t>
  </si>
  <si>
    <t>Calvin Klein Plus Size Roll-Sleeve Shirtdre Latte 1X</t>
  </si>
  <si>
    <t>194414235704</t>
  </si>
  <si>
    <t>ELJFQU5231</t>
  </si>
  <si>
    <t>Sam Edelman The Riley Cotton Asymmetrical Quartz 4</t>
  </si>
  <si>
    <t>193653307975</t>
  </si>
  <si>
    <t>MAKB8129SD</t>
  </si>
  <si>
    <t>NYDJ Wide-Leg Ankle-Length Pants Jet Black 12</t>
  </si>
  <si>
    <t>194477186401</t>
  </si>
  <si>
    <t>VC0M1223</t>
  </si>
  <si>
    <t>Vince Camuto Cutout-Back Jumpsuit Cobalt 6</t>
  </si>
  <si>
    <t>689886083903</t>
  </si>
  <si>
    <t>Kasper Printed 34-Sleeve Blazer Valencia Orange Multi 4</t>
  </si>
  <si>
    <t>93488084174</t>
  </si>
  <si>
    <t>7G905510</t>
  </si>
  <si>
    <t>JEN7 Striped Denim Skirt Nautical Stripe 8</t>
  </si>
  <si>
    <t>190392936466</t>
  </si>
  <si>
    <t>Le Suit Shiny One-Button Skirt Suit Vanilla Ice 4</t>
  </si>
  <si>
    <t>716357790340</t>
  </si>
  <si>
    <t>Kasper Plus Size Notch-Collar Blazer Mariner Blue 1X</t>
  </si>
  <si>
    <t>93488299868</t>
  </si>
  <si>
    <t>HR1M8514</t>
  </si>
  <si>
    <t>HARPER ROSE Sleeveless Roll-Neck Midi Dres Navy 8</t>
  </si>
  <si>
    <t>194592876843</t>
  </si>
  <si>
    <t>H18JX04A</t>
  </si>
  <si>
    <t>Tommy Hilfiger 1-Button Long Blazer Midnight Multi 16</t>
  </si>
  <si>
    <t>195105505564</t>
  </si>
  <si>
    <t>Tommy Hilfiger 1-Button Long Blazer Midnight Multi 12</t>
  </si>
  <si>
    <t>195105505588</t>
  </si>
  <si>
    <t>Tommy Hilfiger 1-Button Long Blazer Midnight Multi 10</t>
  </si>
  <si>
    <t>195105505595</t>
  </si>
  <si>
    <t>LNA Amber Ribbed Long-Sleeve Top Black L</t>
  </si>
  <si>
    <t>840201226638</t>
  </si>
  <si>
    <t>RS1W320</t>
  </si>
  <si>
    <t>Splendid Alanis T-Shirt Dark Green L</t>
  </si>
  <si>
    <t>193666596694</t>
  </si>
  <si>
    <t>Splendid Alanis T-Shirt Dark Green M</t>
  </si>
  <si>
    <t>193666596700</t>
  </si>
  <si>
    <t>Splendid Alanis T-Shirt Dark Green S</t>
  </si>
  <si>
    <t>193666596717</t>
  </si>
  <si>
    <t>Splendid Alanis T-Shirt Dark Green XS</t>
  </si>
  <si>
    <t>193666596731</t>
  </si>
  <si>
    <t>W1BR14Z2W30</t>
  </si>
  <si>
    <t>GUESS Ariane V-neck Loose-Knit Sweat Apricot Juice Multi M</t>
  </si>
  <si>
    <t>7620207851576</t>
  </si>
  <si>
    <t>COTTON; SLEEVES: POLYAMIDE; TRIMS: POLYESTER</t>
  </si>
  <si>
    <t>78KNP</t>
  </si>
  <si>
    <t>French Connection Cotton Lace Bell-Sleeve Top Black Black L</t>
  </si>
  <si>
    <t>889042903650</t>
  </si>
  <si>
    <t>RS1K730</t>
  </si>
  <si>
    <t>Splendid Splendid Colorblocked Sweater Sky Multi XS</t>
  </si>
  <si>
    <t>193666505122</t>
  </si>
  <si>
    <t>Splendid Splendid Colorblocked Sweater Sky Multi S</t>
  </si>
  <si>
    <t>193666505108</t>
  </si>
  <si>
    <t>Le Suit Plus Size Shawl-Collar Skirt S Black 16W</t>
  </si>
  <si>
    <t>93488493761</t>
  </si>
  <si>
    <t>Splendid Mariposa Dress V Olv Brown 4</t>
  </si>
  <si>
    <t>193666987454</t>
  </si>
  <si>
    <t>Splendid Mariposa Dress V Olv Brown 8</t>
  </si>
  <si>
    <t>193666987430</t>
  </si>
  <si>
    <t>Splendid Mariposa Dress V Olv Brown XL</t>
  </si>
  <si>
    <t>193666987461</t>
  </si>
  <si>
    <t>Splendid Mariposa Dress Black 8</t>
  </si>
  <si>
    <t>193666987331</t>
  </si>
  <si>
    <t>Splendid Mariposa Dress V Olv Brown 2</t>
  </si>
  <si>
    <t>193666987478</t>
  </si>
  <si>
    <t>Splendid Mariposa Dress Black 2</t>
  </si>
  <si>
    <t>193666987379</t>
  </si>
  <si>
    <t>Splendid Mariposa Dress Black 4</t>
  </si>
  <si>
    <t>193666987355</t>
  </si>
  <si>
    <t>85% COTTON/15% LINEN; LINING: 100% COTTON</t>
  </si>
  <si>
    <t>MADE IN BANGLADESH</t>
  </si>
  <si>
    <t>L1CC2187</t>
  </si>
  <si>
    <t>Karl Lagerfeld Paris Karl Lagerfeld Paris Linen Bla Gray 8</t>
  </si>
  <si>
    <t>194775748721</t>
  </si>
  <si>
    <t>69%POLYESTER/31%COTTON</t>
  </si>
  <si>
    <t>RS1K850</t>
  </si>
  <si>
    <t>Splendid Splendid Tie-Dye Hoodie Peach Mult XS</t>
  </si>
  <si>
    <t>193666505528</t>
  </si>
  <si>
    <t>Splendid Splendid Tie-Dye Hoodie Peach Mult L</t>
  </si>
  <si>
    <t>193666505481</t>
  </si>
  <si>
    <t>RS1D110</t>
  </si>
  <si>
    <t>Splendid Evie Printed T-Shirt Dress Vob Camo S</t>
  </si>
  <si>
    <t>193666472905</t>
  </si>
  <si>
    <t>Splendid Evie Printed T-Shirt Dress Vob Camo XS</t>
  </si>
  <si>
    <t>193666472929</t>
  </si>
  <si>
    <t>RF1W520</t>
  </si>
  <si>
    <t>Splendid Chrissy Camo-Print Top Vob Tie Dye 8</t>
  </si>
  <si>
    <t>193666777345</t>
  </si>
  <si>
    <t>48% POLYESTER/49% RAYON/3% SPANDEX</t>
  </si>
  <si>
    <t>RF0A030</t>
  </si>
  <si>
    <t>Splendid Printed Joggers Olive Birch XS</t>
  </si>
  <si>
    <t>193666406290</t>
  </si>
  <si>
    <t>Nicole Miller Nicole Miller Crochet Eyelet P Dark Green XL</t>
  </si>
  <si>
    <t>794566319439</t>
  </si>
  <si>
    <t>Nicole Miller Nicole Miller Crochet Eyelet P White M</t>
  </si>
  <si>
    <t>794566326000</t>
  </si>
  <si>
    <t>Nicole Miller Nicole Miller Crochet Eyelet P Black L</t>
  </si>
  <si>
    <t>794566325966</t>
  </si>
  <si>
    <t>RM1A700</t>
  </si>
  <si>
    <t>Splendid Alanis Wide-Leg Ankle-Length P Dark Green XS</t>
  </si>
  <si>
    <t>193666596281</t>
  </si>
  <si>
    <t>95% MODAL/5% ELASTANE</t>
  </si>
  <si>
    <t>RS1D220</t>
  </si>
  <si>
    <t>Splendid Alanis T-Shirt Dress Dark Green S</t>
  </si>
  <si>
    <t>193666596113</t>
  </si>
  <si>
    <t>32</t>
  </si>
  <si>
    <t>7U704395</t>
  </si>
  <si>
    <t>7 For All Mankind The Monroe Cotton Cut-Off Shor Clean White Rigid 32</t>
  </si>
  <si>
    <t>190392925194</t>
  </si>
  <si>
    <t>98% COTTON/2% SPANDEX</t>
  </si>
  <si>
    <t>7U704028</t>
  </si>
  <si>
    <t>7 For All Mankind Monroe Cutoff Denim Shorts Eclipse Black 27</t>
  </si>
  <si>
    <t>190392925026</t>
  </si>
  <si>
    <t>7 For All Mankind Monroe Cutoff Denim Shorts Eclipse Black 26</t>
  </si>
  <si>
    <t>190392925019</t>
  </si>
  <si>
    <t>RF1R090</t>
  </si>
  <si>
    <t>Splendid Super Soft Jumpsuit Black 2</t>
  </si>
  <si>
    <t>193666890129</t>
  </si>
  <si>
    <t>LACOSTE USA</t>
  </si>
  <si>
    <t>38</t>
  </si>
  <si>
    <t>BRGHTORANG</t>
  </si>
  <si>
    <t>EF5681</t>
  </si>
  <si>
    <t>Lacoste Cotton Sleeveless Belted Dress Orange 6</t>
  </si>
  <si>
    <t>194951874886</t>
  </si>
  <si>
    <t>POLYESTER/NYLON/METALLIC; LINING: POLYESTER</t>
  </si>
  <si>
    <t>TSMS0WN123</t>
  </si>
  <si>
    <t>Tahari ASL Metallic-Floral Skirt Suit Gold Neutral Floral 6</t>
  </si>
  <si>
    <t>663309713011</t>
  </si>
  <si>
    <t>RM1R001</t>
  </si>
  <si>
    <t>Splendid Somerset Printed Jumpsuit Lead Camo XS</t>
  </si>
  <si>
    <t>193666590517</t>
  </si>
  <si>
    <t>PET/LRG</t>
  </si>
  <si>
    <t>S1OJ1-P4016P</t>
  </si>
  <si>
    <t>Eileen Fisher Eileen Fisher Slim Cropped Pan Casis PL</t>
  </si>
  <si>
    <t>193481725286</t>
  </si>
  <si>
    <t>SS2167</t>
  </si>
  <si>
    <t>LNA Cotton Ribbed-Panel Sweatshirt Heather Pink XL</t>
  </si>
  <si>
    <t>840201218343</t>
  </si>
  <si>
    <t>LNA Cotton Ribbed-Panel Sweatshirt Heather Pink L</t>
  </si>
  <si>
    <t>840201218336</t>
  </si>
  <si>
    <t>Tahari ASL Embellished Dress Suit Lapis 10</t>
  </si>
  <si>
    <t>663309998753</t>
  </si>
  <si>
    <t>D551WREG</t>
  </si>
  <si>
    <t>Dauntless Regina Denim Wide-Leg Culottes Black S</t>
  </si>
  <si>
    <t>850027946399</t>
  </si>
  <si>
    <t>Dauntless Regina Denim Wide-Leg Culottes Black M</t>
  </si>
  <si>
    <t>850027946405</t>
  </si>
  <si>
    <t>D53WPAR</t>
  </si>
  <si>
    <t>Dauntless Parker Crepe Trousers White L</t>
  </si>
  <si>
    <t>850027946474</t>
  </si>
  <si>
    <t>Nicole Miller Womens Charmeuse Top Black XL</t>
  </si>
  <si>
    <t>794566328653</t>
  </si>
  <si>
    <t>Nicole Miller Womens Charmeuse Top Purple M</t>
  </si>
  <si>
    <t>794566331035</t>
  </si>
  <si>
    <t>Nicole Miller Womens Charmeuse Top Purple XL</t>
  </si>
  <si>
    <t>794566331059</t>
  </si>
  <si>
    <t>Marella Epoca Sleeveless Shell Blouse Deep Rose 6</t>
  </si>
  <si>
    <t>8056232631705</t>
  </si>
  <si>
    <t>Marella Epoca Sleeveless Shell Blouse Deep Rose 4</t>
  </si>
  <si>
    <t>8056232649465</t>
  </si>
  <si>
    <t>DARK BROWN</t>
  </si>
  <si>
    <t>S1LOL-P4510M</t>
  </si>
  <si>
    <t>Eileen Fisher Organic Linen Pants Coriander L</t>
  </si>
  <si>
    <t>193481650953</t>
  </si>
  <si>
    <t>Nicole Miller Jasmine Floral Print One-Shoul Natural XL</t>
  </si>
  <si>
    <t>794566318739</t>
  </si>
  <si>
    <t>Nicole Miller Metal Striped Cropped Bra Top Gray Stripe XL</t>
  </si>
  <si>
    <t>794566332933</t>
  </si>
  <si>
    <t>Nicole Miller Metal Striped Cropped Bra Top Gray Stripe L</t>
  </si>
  <si>
    <t>794566332926</t>
  </si>
  <si>
    <t>22AV/MD/RG</t>
  </si>
  <si>
    <t>S1SUZ-P8284M</t>
  </si>
  <si>
    <t>Eileen Fisher Organic Ankle Pants Clay 22</t>
  </si>
  <si>
    <t>193481623087</t>
  </si>
  <si>
    <t>CT19311</t>
  </si>
  <si>
    <t>Nicole Miller Womens Cotton Tie-Dye-Print C Beige L</t>
  </si>
  <si>
    <t>794566328905</t>
  </si>
  <si>
    <t>POLYESTER/RAYON/ELASTANE; LINING: POLYESTER</t>
  </si>
  <si>
    <t>TSMU1WN011</t>
  </si>
  <si>
    <t>Tahari ASL Portrait-Collar Jacket Dress Azalea Pink 16</t>
  </si>
  <si>
    <t>663309998685</t>
  </si>
  <si>
    <t>7 For All Mankind Floral-Print High-Rise Jeans Pink Tie Dye Tps 24</t>
  </si>
  <si>
    <t>190392943426</t>
  </si>
  <si>
    <t>CD19214</t>
  </si>
  <si>
    <t>Nicole Miller Jasmine Floral-Print Shirt Dre Natural M</t>
  </si>
  <si>
    <t>794566311495</t>
  </si>
  <si>
    <t>Nicole Miller Off-The-Shoulder Eyelet Dress Black S</t>
  </si>
  <si>
    <t>794566330359</t>
  </si>
  <si>
    <t>Nicole Miller Off-The-Shoulder Eyelet Dress Black XL</t>
  </si>
  <si>
    <t>794566330380</t>
  </si>
  <si>
    <t>Nicole Miller Off-The-Shoulder Eyelet Dress White XL</t>
  </si>
  <si>
    <t>794566330601</t>
  </si>
  <si>
    <t>Nicole Miller Off-The-Shoulder Eyelet Dress Black L</t>
  </si>
  <si>
    <t>794566330373</t>
  </si>
  <si>
    <t>Nicole Miller Off-The-Shoulder Eyelet Dress White L</t>
  </si>
  <si>
    <t>794566330595</t>
  </si>
  <si>
    <t>Nicole Miller Off-The-Shoulder Eyelet Dress Dark Green L</t>
  </si>
  <si>
    <t>794566328370</t>
  </si>
  <si>
    <t>Nicole Miller Off-The-Shoulder Eyelet Dress White M</t>
  </si>
  <si>
    <t>794566330410</t>
  </si>
  <si>
    <t>Nicole Miller Off-The-Shoulder Eyelet Dress Black M</t>
  </si>
  <si>
    <t>794566330366</t>
  </si>
  <si>
    <t>Nicole Miller Off-The-Shoulder Eyelet Dress Dark Green M</t>
  </si>
  <si>
    <t>794566328363</t>
  </si>
  <si>
    <t>Nicole Miller Off-The-Shoulder Eyelet Dress White P</t>
  </si>
  <si>
    <t>794566330397</t>
  </si>
  <si>
    <t>Nicole Miller Garment Dyed Charmeuse Jogger Black L</t>
  </si>
  <si>
    <t>794566315318</t>
  </si>
  <si>
    <t>Nicole Miller Garment Dyed Charmeuse Jogger Black XL</t>
  </si>
  <si>
    <t>794566315325</t>
  </si>
  <si>
    <t>Weekend Max Mara Okra Printed Pants Rosa 2</t>
  </si>
  <si>
    <t>8051312174738</t>
  </si>
  <si>
    <t>Nicole Miller Striped Midi Skirt Gray Stripe L</t>
  </si>
  <si>
    <t>794566315516</t>
  </si>
  <si>
    <t>Nicole Miller Striped Midi Skirt Gray Stripe S</t>
  </si>
  <si>
    <t>794566315493</t>
  </si>
  <si>
    <t>Nicole Miller Striped Midi Skirt Gray Stripe P</t>
  </si>
  <si>
    <t>794566315486</t>
  </si>
  <si>
    <t>Nicole Miller Metal Striped Wrap Top Gray Stripe L</t>
  </si>
  <si>
    <t>794566315561</t>
  </si>
  <si>
    <t>Nicole Miller Striped Midi Skirt Gray Stripe M</t>
  </si>
  <si>
    <t>794566315509</t>
  </si>
  <si>
    <t>Nicole Miller Cashmere Jogger Pants Black L</t>
  </si>
  <si>
    <t>794566334968</t>
  </si>
  <si>
    <t>Nicole Miller Cashmere Jogger Pants Black XL</t>
  </si>
  <si>
    <t>794566334975</t>
  </si>
  <si>
    <t>Weekend Max Mara Printed Onore Straight-Leg Cro Rosa 4</t>
  </si>
  <si>
    <t>8056725529809</t>
  </si>
  <si>
    <t>Weekend Max Mara Striped Button-Front Shirt Azzurro 4</t>
  </si>
  <si>
    <t>8051312175896</t>
  </si>
  <si>
    <t>Nicole Miller Charmeuse Smocked Mini Dress Purple L</t>
  </si>
  <si>
    <t>794566313499</t>
  </si>
  <si>
    <t>Nicole Miller Charmeuse Smocked Mini Dress Black L</t>
  </si>
  <si>
    <t>794566313444</t>
  </si>
  <si>
    <t>Nicole Miller Charmeuse Smocked Mini Dress Black M</t>
  </si>
  <si>
    <t>794566313437</t>
  </si>
  <si>
    <t>Nicole Miller Charmeuse Smocked Mini Dress Purple M</t>
  </si>
  <si>
    <t>794566313482</t>
  </si>
  <si>
    <t>Nicole Miller Charmeuse Smocked Mini Dress Black S</t>
  </si>
  <si>
    <t>794566313420</t>
  </si>
  <si>
    <t>Nicole Miller Charmeuse Midi Dress Purple S</t>
  </si>
  <si>
    <t>794566313147</t>
  </si>
  <si>
    <t>Nicole Miller Charmeuse Midi Dress Purple XL</t>
  </si>
  <si>
    <t>794566313178</t>
  </si>
  <si>
    <t>Nicole Miller Charmeuse Midi Dress Black L</t>
  </si>
  <si>
    <t>794566313116</t>
  </si>
  <si>
    <t>Nicole Miller Charmeuse Midi Dress Purple L</t>
  </si>
  <si>
    <t>794566313161</t>
  </si>
  <si>
    <t>Nicole Miller Charmeuse Midi Dress Purple M</t>
  </si>
  <si>
    <t>794566313154</t>
  </si>
  <si>
    <t>Nicole Miller Charmeuse Midi Dress Black M</t>
  </si>
  <si>
    <t>794566313109</t>
  </si>
  <si>
    <t>Nicole Miller Charmeuse Midi Dress Black P</t>
  </si>
  <si>
    <t>794566313086</t>
  </si>
  <si>
    <t>Nicole Miller Charmeuse Midi Dress Purple P</t>
  </si>
  <si>
    <t>794566313130</t>
  </si>
  <si>
    <t>Weekend Max Mara Gemona Jacket Rosa 2</t>
  </si>
  <si>
    <t>8051312214229</t>
  </si>
  <si>
    <t>Marella Scarf-Print Crepe Dress Black 8</t>
  </si>
  <si>
    <t>8056232887003</t>
  </si>
  <si>
    <t>Weekend Max Mara Printed Silk Pants Bianco Avorio 6</t>
  </si>
  <si>
    <t>8051312228196</t>
  </si>
  <si>
    <t>Weekend Max Mara Kuban Tiered Elbow-Sleeve Dres Azzurro 10</t>
  </si>
  <si>
    <t>8051312202172</t>
  </si>
  <si>
    <t>Tommy Jeans Floral Ruffle Shorts Khaki Multi XXS</t>
  </si>
  <si>
    <t>190607313792</t>
  </si>
  <si>
    <t>Tommy Jeans Short Sleeve V-Neck Bodysuit Pink Dawn XL</t>
  </si>
  <si>
    <t>195105759424</t>
  </si>
  <si>
    <t>Tommy Jeans Short Sleeve V-Neck Bodysuit Pink Dawn XS</t>
  </si>
  <si>
    <t>195105759462</t>
  </si>
  <si>
    <t>190607131914</t>
  </si>
  <si>
    <t>TOMMY HILFIGER PLUS/G-III APPAREL</t>
  </si>
  <si>
    <t>TP03733X</t>
  </si>
  <si>
    <t>CREWNECK S/S STRIPE</t>
  </si>
  <si>
    <t>190607387687</t>
  </si>
  <si>
    <t>W4311EYA</t>
  </si>
  <si>
    <t>FIXED WAIST WIDE LEG</t>
  </si>
  <si>
    <t>802892122699</t>
  </si>
  <si>
    <t>DRAFT - PRINTED ROLL TAB Blackwhite Floral XS</t>
  </si>
  <si>
    <t>193623012205</t>
  </si>
  <si>
    <t>Tommy Jeans Patchwork Slip Dress Sky Captain Multi XL</t>
  </si>
  <si>
    <t>195105812099</t>
  </si>
  <si>
    <t>ELEVEN PARIS Lonely Hearts Club Sweatshirt Limoges Blue M</t>
  </si>
  <si>
    <t>829468930939</t>
  </si>
  <si>
    <t>193666940749</t>
  </si>
  <si>
    <t>Nicole Miller Garment Dyed Charmeuse Jogger Purple M</t>
  </si>
  <si>
    <t>794566315356</t>
  </si>
  <si>
    <t>Champion Classic Logo T-Shirt Fantastic Fuchsia XS</t>
  </si>
  <si>
    <t>77478961911</t>
  </si>
  <si>
    <t>Champion Womens Get Happy Logo T-Shirt Orange L</t>
  </si>
  <si>
    <t>194959260759</t>
  </si>
  <si>
    <t>Champion Womens Get Happy Logo T-Shirt Orange XS</t>
  </si>
  <si>
    <t>194959260728</t>
  </si>
  <si>
    <t>Champion Womens Get Happy Logo T-Shirt Yellow S</t>
  </si>
  <si>
    <t>194959260612</t>
  </si>
  <si>
    <t>M2270G586954</t>
  </si>
  <si>
    <t>Champion Womens Cotton Get Happy Short Black L</t>
  </si>
  <si>
    <t>194959321313</t>
  </si>
  <si>
    <t>Champion Womens Cotton Get Happy Short Black XL</t>
  </si>
  <si>
    <t>194959321320</t>
  </si>
  <si>
    <t>Riley Rae Valerie Ribbed Lettuce-Edge To Soft Ecru S</t>
  </si>
  <si>
    <t>195203512259</t>
  </si>
  <si>
    <t>W5950G586180</t>
  </si>
  <si>
    <t>Champion Logo Cropped T-Shirt Chalk White L</t>
  </si>
  <si>
    <t>194164669675</t>
  </si>
  <si>
    <t>W5950G550757</t>
  </si>
  <si>
    <t>Champion Logo Cropped T-Shirt Fantastic Fuchsia XL</t>
  </si>
  <si>
    <t>77478917543</t>
  </si>
  <si>
    <t>Champion Womens Cropped Graphic-Print White XXL</t>
  </si>
  <si>
    <t>77478967012</t>
  </si>
  <si>
    <t>Champion Logo Cropped T-Shirt Fantastic Fuchsia XS</t>
  </si>
  <si>
    <t>77478917505</t>
  </si>
  <si>
    <t>Champion Logo Cropped T-Shirt Fantastic Fuchsia XXL</t>
  </si>
  <si>
    <t>77478917550</t>
  </si>
  <si>
    <t>Champion Logo Cropped T-Shirt Fantastic Fuchsia M</t>
  </si>
  <si>
    <t>77478917529</t>
  </si>
  <si>
    <t>Champion Logo Cropped T-Shirt Fantastic Fuchsia L</t>
  </si>
  <si>
    <t>77478917536</t>
  </si>
  <si>
    <t>W5950G586952</t>
  </si>
  <si>
    <t>Champion Womens Get Happy Cropped T-Sh Yellow S</t>
  </si>
  <si>
    <t>194959292859</t>
  </si>
  <si>
    <t>J3121JRD1161B</t>
  </si>
  <si>
    <t>Dickies Juniors Cotton Logo Graphic T Birch XS</t>
  </si>
  <si>
    <t>792831387565</t>
  </si>
  <si>
    <t>12UXFKO0012</t>
  </si>
  <si>
    <t>Junk Food Cotton Frida Kahlo-Graphic T-S Black Tonal Tie Dye M</t>
  </si>
  <si>
    <t>195883323923</t>
  </si>
  <si>
    <t>Dickies Juniors Cotton Cropped Stripe Lotus Pink Stripe S</t>
  </si>
  <si>
    <t>792831388289</t>
  </si>
  <si>
    <t>Tommy Jeans Cotton Linear Logo T-Shirt Black M</t>
  </si>
  <si>
    <t>195105710135</t>
  </si>
  <si>
    <t>Tommy Jeans Cotton Linear Logo T-Shirt Bright White M</t>
  </si>
  <si>
    <t>195105710500</t>
  </si>
  <si>
    <t>Tommy Jeans Cotton Linear Logo T-Shirt Sky Captain L</t>
  </si>
  <si>
    <t>195105710395</t>
  </si>
  <si>
    <t>Tommy Jeans Cotton Linear Logo T-Shirt Bright White L</t>
  </si>
  <si>
    <t>195105710494</t>
  </si>
  <si>
    <t>Tommy Jeans Cotton Linear Logo T-Shirt Scarlet L</t>
  </si>
  <si>
    <t>195105710074</t>
  </si>
  <si>
    <t>T1AH0ZBC</t>
  </si>
  <si>
    <t>Tommy Jeans Cotton Logo-Graphic Cropped T- Nantucket Red XL</t>
  </si>
  <si>
    <t>195105823279</t>
  </si>
  <si>
    <t>Tommy Jeans Cotton Linear Logo T-Shirt Sky Captain M</t>
  </si>
  <si>
    <t>195105710401</t>
  </si>
  <si>
    <t>Tommy Jeans Cotton Linear Logo T-Shirt Black XL</t>
  </si>
  <si>
    <t>195105710111</t>
  </si>
  <si>
    <t>Tommy Jeans Cotton Logo-Graphic Cropped T- Nantucket Red L</t>
  </si>
  <si>
    <t>195105823286</t>
  </si>
  <si>
    <t>Tommy Jeans Cotton Linear Logo T-Shirt Scarlet XL</t>
  </si>
  <si>
    <t>195105710067</t>
  </si>
  <si>
    <t>Tommy Jeans Cotton Linear Logo T-Shirt Sky Captain S</t>
  </si>
  <si>
    <t>195105710418</t>
  </si>
  <si>
    <t>Tommy Jeans Cotton Linear Logo T-Shirt Bright White XS</t>
  </si>
  <si>
    <t>195105710524</t>
  </si>
  <si>
    <t>Riley Rae Ruffled Off-the-Shoulder Top Ultra White L</t>
  </si>
  <si>
    <t>195203685151</t>
  </si>
  <si>
    <t>Riley Rae Ruffled Off-the-Shoulder Top Amber Sun M</t>
  </si>
  <si>
    <t>195203685359</t>
  </si>
  <si>
    <t>TP08735S</t>
  </si>
  <si>
    <t>Tommy Hilfiger Womens Printed Shorts Scarlet L</t>
  </si>
  <si>
    <t>195105680926</t>
  </si>
  <si>
    <t>Tommy Hilfiger Womens Printed Shorts Rose Water XL</t>
  </si>
  <si>
    <t>195105680810</t>
  </si>
  <si>
    <t>TP03965T</t>
  </si>
  <si>
    <t>Tommy Hilfiger Womens Tie-Dyed Tank Top Marine Blue Combo L</t>
  </si>
  <si>
    <t>195105680209</t>
  </si>
  <si>
    <t>Tommy Hilfiger Strappy Logo-Band Sports Bra Deep Blue XL</t>
  </si>
  <si>
    <t>195105728000</t>
  </si>
  <si>
    <t>TP03938T</t>
  </si>
  <si>
    <t>Tommy Hilfiger Womens Tie-Dyed Striped T-Shi Rose Water XL</t>
  </si>
  <si>
    <t>190607156221</t>
  </si>
  <si>
    <t>Tommy Hilfiger Womens Cutout-Back T-Shirt White Stone Heather M</t>
  </si>
  <si>
    <t>190607155453</t>
  </si>
  <si>
    <t>Tommy Hilfiger Womens Cutout-Back T-Shirt White Stone Heather L</t>
  </si>
  <si>
    <t>190607155446</t>
  </si>
  <si>
    <t>TP03506X</t>
  </si>
  <si>
    <t>Tommy Hilfiger Plus Size Crewneck Logo T-Shir Black 2X</t>
  </si>
  <si>
    <t>195105729151</t>
  </si>
  <si>
    <t>TP08734S</t>
  </si>
  <si>
    <t>Tommy Hilfiger Relaxed Shorts Deep Blue XL</t>
  </si>
  <si>
    <t>190607428212</t>
  </si>
  <si>
    <t>TP03935T</t>
  </si>
  <si>
    <t>Tommy Hilfiger Womens Twisted Tank Top Marine Blue XL</t>
  </si>
  <si>
    <t>195105680445</t>
  </si>
  <si>
    <t>Tommy Hilfiger Womens Tie-Dyed Striped T-Shi Deep Blue L</t>
  </si>
  <si>
    <t>190607156849</t>
  </si>
  <si>
    <t>TP08769S</t>
  </si>
  <si>
    <t>Tommy Hilfiger High-Rise Bike Shorts Deep Blue M</t>
  </si>
  <si>
    <t>195105744727</t>
  </si>
  <si>
    <t>W1YI48RA0Q0</t>
  </si>
  <si>
    <t>GUESS Logo T-Shirt Airway Blue L</t>
  </si>
  <si>
    <t>195124316967</t>
  </si>
  <si>
    <t>T1CH6BHC</t>
  </si>
  <si>
    <t>Tommy Jeans Cotton Logo-Print T-Shirt Bright White XXS</t>
  </si>
  <si>
    <t>195105751534</t>
  </si>
  <si>
    <t>GUESS Circle Stripe Logo T-Shirt Scattered Petals Multi M</t>
  </si>
  <si>
    <t>195124300461</t>
  </si>
  <si>
    <t>W5683P586433</t>
  </si>
  <si>
    <t>Champion Womens Sport Print Muscle Tan Multi Wash Cloud Fantastic Fuc M</t>
  </si>
  <si>
    <t>77478981285</t>
  </si>
  <si>
    <t>T1AW0CZI</t>
  </si>
  <si>
    <t>Tommy Jeans Logo-Tape Bike Shorts Stone Grey Heather S</t>
  </si>
  <si>
    <t>195105788998</t>
  </si>
  <si>
    <t>Tommy Jeans Short-Sleeve Logo Crewneck Dre Stone Grey Heather XL</t>
  </si>
  <si>
    <t>195105789186</t>
  </si>
  <si>
    <t>T1FG0CDE</t>
  </si>
  <si>
    <t>Tommy Jeans Tommy Jeans Knit Logo Skirt Sky Captain S</t>
  </si>
  <si>
    <t>195105697764</t>
  </si>
  <si>
    <t>P12H7EHF</t>
  </si>
  <si>
    <t>DKNY Solid Elastic-Cuff Top Paradi Red XS</t>
  </si>
  <si>
    <t>794278593202</t>
  </si>
  <si>
    <t>DARKORANGE</t>
  </si>
  <si>
    <t>PF1X3937</t>
  </si>
  <si>
    <t>Calvin Klein Plus Size Ruched Side Tank Top Energy 2X</t>
  </si>
  <si>
    <t>195841933553</t>
  </si>
  <si>
    <t>Tommy Hilfiger Logo Mini Skirt Black S</t>
  </si>
  <si>
    <t>190607441785</t>
  </si>
  <si>
    <t>TP19103P</t>
  </si>
  <si>
    <t>Tommy Hilfiger Womens Curve Blocked High-Ris Deep Blue S</t>
  </si>
  <si>
    <t>195105827451</t>
  </si>
  <si>
    <t>Tommy Hilfiger Logo Mini Skirt White Stone Heather L</t>
  </si>
  <si>
    <t>190607441716</t>
  </si>
  <si>
    <t>J0SW0236</t>
  </si>
  <si>
    <t>Tommy Hilfiger Striped Bermuda Shorts Coralie 6</t>
  </si>
  <si>
    <t>190607365081</t>
  </si>
  <si>
    <t>Tommy Hilfiger Logo Mini Skirt White Stone Heather XL</t>
  </si>
  <si>
    <t>190607441709</t>
  </si>
  <si>
    <t>Riley Rae Rylan Jogger Pants Rich Black XL</t>
  </si>
  <si>
    <t>194288293909</t>
  </si>
  <si>
    <t>GUESS Avril Tank Top Skyline Light Blue M</t>
  </si>
  <si>
    <t>7618483940886</t>
  </si>
  <si>
    <t>GUESS Corinne Cotton Graphic T-Shirt Heather Ivory M</t>
  </si>
  <si>
    <t>7620207159016</t>
  </si>
  <si>
    <t>W1YI57RI370</t>
  </si>
  <si>
    <t>GUESS Painted Lips T-Shirt Rainbow Marble Tie Dye L</t>
  </si>
  <si>
    <t>195124301451</t>
  </si>
  <si>
    <t>SHELL &amp; LINING: POLYESTER</t>
  </si>
  <si>
    <t>1.STATE Flutter-Sleeve Top Soft Ecru XS</t>
  </si>
  <si>
    <t>39376145831</t>
  </si>
  <si>
    <t>Calvin Klein Plus Size Tie-Dye Logo T-Shirt Kensington Peach Kiss 3X</t>
  </si>
  <si>
    <t>195046162871</t>
  </si>
  <si>
    <t>Riley Rae Solid Paper-Bag Waist Seersuck Preppy Navy M</t>
  </si>
  <si>
    <t>195203815084</t>
  </si>
  <si>
    <t>RSD1370</t>
  </si>
  <si>
    <t>Splendid Solana Thermal Ribbed-Edge Top Navy L</t>
  </si>
  <si>
    <t>193666532456</t>
  </si>
  <si>
    <t>Tommy Jeans Striped Midi Dress Scarlet Multi L</t>
  </si>
  <si>
    <t>195105709641</t>
  </si>
  <si>
    <t>Tommy Jeans Striped Midi Dress Sky Captain Multi M</t>
  </si>
  <si>
    <t>195105709573</t>
  </si>
  <si>
    <t>Tommy Jeans Striped Midi Dress Scarlet Multi M</t>
  </si>
  <si>
    <t>195105709658</t>
  </si>
  <si>
    <t>GUESS Sydney Lace-Up Sleeveless Swea Light Heather Grey Multi S</t>
  </si>
  <si>
    <t>195124307408</t>
  </si>
  <si>
    <t>GUESS Preya Plaited Bodysuit Sunset Orange Multi L</t>
  </si>
  <si>
    <t>195124305619</t>
  </si>
  <si>
    <t>GUESS Sydney Lace-Up Sleeveless Swea Light Heather Grey Multi XS</t>
  </si>
  <si>
    <t>195124307385</t>
  </si>
  <si>
    <t>P0DH8FVW</t>
  </si>
  <si>
    <t>DKNY Mesh-Overlay Scoop-Neck Top Flare XXS</t>
  </si>
  <si>
    <t>795730525809</t>
  </si>
  <si>
    <t>P0EA6FIR</t>
  </si>
  <si>
    <t>DKNY Elastic Strap Tank Top Marigold XXS</t>
  </si>
  <si>
    <t>795730483758</t>
  </si>
  <si>
    <t>GF934586180</t>
  </si>
  <si>
    <t>Champion Powerblend Applique Hoodie Hush Pink S</t>
  </si>
  <si>
    <t>194164721946</t>
  </si>
  <si>
    <t>PF1X3681</t>
  </si>
  <si>
    <t>Calvin Klein Plus Size Solid 34-Sleeve V-N Berry 1X</t>
  </si>
  <si>
    <t>195046131556</t>
  </si>
  <si>
    <t>COTTON/POLYESTER; DRAWCORD: COTTON</t>
  </si>
  <si>
    <t>TP96896P</t>
  </si>
  <si>
    <t>Tommy Hilfiger Tommy Hilfiger Sport Womens F Pearl Grey Heather XXL</t>
  </si>
  <si>
    <t>192114232719</t>
  </si>
  <si>
    <t>TP97600P</t>
  </si>
  <si>
    <t>Tommy Hilfiger Tommy Hilfiger Sport Womens L Navy XXL</t>
  </si>
  <si>
    <t>192114233211</t>
  </si>
  <si>
    <t>192114232757</t>
  </si>
  <si>
    <t>TP18334Z</t>
  </si>
  <si>
    <t>Tommy Hilfiger Womens Colorblocked Dress Scarlet S</t>
  </si>
  <si>
    <t>195105777367</t>
  </si>
  <si>
    <t>J1EH0276</t>
  </si>
  <si>
    <t>Tommy Hilfiger Woven-Back Top Sky Captain XL</t>
  </si>
  <si>
    <t>195105695456</t>
  </si>
  <si>
    <t>Tommy Hilfiger Womens Capri Jogger Pants White Stone Heather S</t>
  </si>
  <si>
    <t>190607154197</t>
  </si>
  <si>
    <t>Tommy Hilfiger Womens Star-Print Cropped Leg Black M</t>
  </si>
  <si>
    <t>190607159642</t>
  </si>
  <si>
    <t>Tommy Hilfiger Womens Capri Jogger Pants Fuchsia Piank M</t>
  </si>
  <si>
    <t>195105680667</t>
  </si>
  <si>
    <t>TP08238Z</t>
  </si>
  <si>
    <t>Tommy Hilfiger Womens Ombre Logo Tank Dress White Stone Heather M</t>
  </si>
  <si>
    <t>190607154128</t>
  </si>
  <si>
    <t>Tommy Hilfiger Womens Capri Jogger Pants Fuchsia Piank XL</t>
  </si>
  <si>
    <t>195105680643</t>
  </si>
  <si>
    <t>TP07845P</t>
  </si>
  <si>
    <t>Tommy Hilfiger Womens Cropped Jogger Pants Rosewater L</t>
  </si>
  <si>
    <t>190607178698</t>
  </si>
  <si>
    <t>Tommy Hilfiger Womens Capri Jogger Pants Marine Blue M</t>
  </si>
  <si>
    <t>195105680612</t>
  </si>
  <si>
    <t>Tommy Hilfiger Womens Striped Colorblocked D Fuchsia Pink XL</t>
  </si>
  <si>
    <t>195105779286</t>
  </si>
  <si>
    <t>Anne Klein Denim and Sport Womens Zoe Short Sleeve Polo Grenadine Medium</t>
  </si>
  <si>
    <t>29022543357</t>
  </si>
  <si>
    <t>Anne Klein Denim and Sport Womens Zoe Short Sleeve Polo Grenadine Small</t>
  </si>
  <si>
    <t>29022543340</t>
  </si>
  <si>
    <t>J0CMP083</t>
  </si>
  <si>
    <t>Tommy Hilfiger Tommy Hilfiger Off-The-Shoulde Sky Captain Multi S</t>
  </si>
  <si>
    <t>190607301836</t>
  </si>
  <si>
    <t>UH1TLD56</t>
  </si>
  <si>
    <t>DKNY Floral-Print Blouse Lt Gry Combo M</t>
  </si>
  <si>
    <t>782212747347</t>
  </si>
  <si>
    <t>UH1TR194</t>
  </si>
  <si>
    <t>DKNY Ribbed Wrap-Style Top Greysilver XXL</t>
  </si>
  <si>
    <t>782212746265</t>
  </si>
  <si>
    <t>MGPF24P-XXE</t>
  </si>
  <si>
    <t>Madden Girl Juniors Belted Flared-Leg Jea Self Belt Flare 30</t>
  </si>
  <si>
    <t>193290915434</t>
  </si>
  <si>
    <t>ELEVEN PARIS Future Celebrity T-Shirt Whitelimoges Blue S</t>
  </si>
  <si>
    <t>829468915547</t>
  </si>
  <si>
    <t>ELEVEN PARIS Tinder Kills Romantics T-Shirt Orchid Hush M</t>
  </si>
  <si>
    <t>829468919439</t>
  </si>
  <si>
    <t>ELEVEN PARIS Future Celebrity T-Shirt Whitesilver XS</t>
  </si>
  <si>
    <t>829468935200</t>
  </si>
  <si>
    <t>ELEVEN PARIS Future Celebrity T-Shirt Whitesilver S</t>
  </si>
  <si>
    <t>829468935217</t>
  </si>
  <si>
    <t>X05S2997</t>
  </si>
  <si>
    <t>Calvin Klein Plus Size Side-Button Pencil S White 14W</t>
  </si>
  <si>
    <t>194414052608</t>
  </si>
  <si>
    <t>Calvin Klein Plus Size Side-Button Pencil S White 20W</t>
  </si>
  <si>
    <t>194414052578</t>
  </si>
  <si>
    <t>Calvin Klein Plus Size Side-Button Pencil S White 18W</t>
  </si>
  <si>
    <t>194414052585</t>
  </si>
  <si>
    <t>TP00447X</t>
  </si>
  <si>
    <t>Tommy Hilfiger Plus Size Colorblocked Zip-Up Scarlet 2X</t>
  </si>
  <si>
    <t>195105729632</t>
  </si>
  <si>
    <t>W1BMH488</t>
  </si>
  <si>
    <t>Tommy Hilfiger Plus Size Cotton Plaid Camp Sh Rosette 3X</t>
  </si>
  <si>
    <t>195105816035</t>
  </si>
  <si>
    <t>W1BM6488</t>
  </si>
  <si>
    <t>Tommy Hilfiger Plus Size Cotton Printed Camp Viridian Multi 3X</t>
  </si>
  <si>
    <t>195105815991</t>
  </si>
  <si>
    <t>CeCe Floral-Print Ruffled Top Rich Black M</t>
  </si>
  <si>
    <t>195203492377</t>
  </si>
  <si>
    <t>Tommy Jeans Ripped Cropped Jeans Infinity 28</t>
  </si>
  <si>
    <t>195105892008</t>
  </si>
  <si>
    <t>J1015P549369</t>
  </si>
  <si>
    <t>Champion Packable Half-Zip Windbreaker Ikat Plaid L</t>
  </si>
  <si>
    <t>77478914856</t>
  </si>
  <si>
    <t>Champion Packable Half-Zip Windbreaker Ikat Plaid XS</t>
  </si>
  <si>
    <t>77478914825</t>
  </si>
  <si>
    <t>Champion Packable Half-Zip Windbreaker Ikat Plaid M</t>
  </si>
  <si>
    <t>77478914849</t>
  </si>
  <si>
    <t>Champion Packable Half-Zip Windbreaker Ikat Plaid S</t>
  </si>
  <si>
    <t>77478914832</t>
  </si>
  <si>
    <t>P02H7EHO</t>
  </si>
  <si>
    <t>DKNY Ruched Short-Sleeve Top Marigold XXS</t>
  </si>
  <si>
    <t>795730519600</t>
  </si>
  <si>
    <t>P0DH7FIM</t>
  </si>
  <si>
    <t>DKNY Mixed-Media Top Ivory L</t>
  </si>
  <si>
    <t>795730535198</t>
  </si>
  <si>
    <t>O1YA25ZZ04M</t>
  </si>
  <si>
    <t>GUESS Alma Leggings Soft Purple Melange ML</t>
  </si>
  <si>
    <t>7618483943801</t>
  </si>
  <si>
    <t>TP16422X</t>
  </si>
  <si>
    <t>Tommy Hilfiger Plus Size Logo Side-Stripe Jog BlackWhite Stone Heather 1X</t>
  </si>
  <si>
    <t>195105614525</t>
  </si>
  <si>
    <t>CeCe Floral-Print Tiered Top Rich Black M</t>
  </si>
  <si>
    <t>195203803272</t>
  </si>
  <si>
    <t>W0XSN931</t>
  </si>
  <si>
    <t>Tommy Hilfiger Plus Size Layered-Look Collare Sky Capt Multi 2X</t>
  </si>
  <si>
    <t>190607114160</t>
  </si>
  <si>
    <t>DKNY Tie-Front Ankle Pants Black 12</t>
  </si>
  <si>
    <t>795731891996</t>
  </si>
  <si>
    <t>Anne Klein Denim and Sport Womens Essential Jeans Jacket Nyc White Medium</t>
  </si>
  <si>
    <t>29023323514</t>
  </si>
  <si>
    <t>Riley Rae Smocked Jumpsuit Rich Black S</t>
  </si>
  <si>
    <t>195203630311</t>
  </si>
  <si>
    <t>Splendid Splendid Mika Halter-Neck Tank Travertine M</t>
  </si>
  <si>
    <t>193666592801</t>
  </si>
  <si>
    <t>TSMU1WT281</t>
  </si>
  <si>
    <t>Tahari ASL Tie-Front Top Black XL</t>
  </si>
  <si>
    <t>663309997251</t>
  </si>
  <si>
    <t>ELEVEN PARIS Call My Stylist Ombre Top Nile Greenorchid Hush Dip Dye L</t>
  </si>
  <si>
    <t>829468934777</t>
  </si>
  <si>
    <t>ELEVEN PARIS Cotton Jogger Shorts Nile Green XS</t>
  </si>
  <si>
    <t>829468930465</t>
  </si>
  <si>
    <t>Kasper Pencil Skirt Lily White 18</t>
  </si>
  <si>
    <t>93488101888</t>
  </si>
  <si>
    <t>Kasper Pencil Skirt Lily White 10</t>
  </si>
  <si>
    <t>93488101840</t>
  </si>
  <si>
    <t>Kasper Plus Size Pencil Skirt Charcoal 14W</t>
  </si>
  <si>
    <t>93487635193</t>
  </si>
  <si>
    <t>ELEVEN PARIS Drawstring-Waist Cotton Shorts Limoges Blue XS</t>
  </si>
  <si>
    <t>829468930816</t>
  </si>
  <si>
    <t>ELEVEN PARIS Make Fashion Not Friends Tie-D Mauveglow Tie Dye M</t>
  </si>
  <si>
    <t>829468930021</t>
  </si>
  <si>
    <t>ELEVEN PARIS Make Fashion Not Friends Tie-D Mauveglow Tie Dye L</t>
  </si>
  <si>
    <t>829468930038</t>
  </si>
  <si>
    <t>CeCe Floral-Print Ruffled Blouse Black Floral L</t>
  </si>
  <si>
    <t>195203187792</t>
  </si>
  <si>
    <t>81215802J8</t>
  </si>
  <si>
    <t>1.STATE Tie-Strap Romper Ditsy Floral XL</t>
  </si>
  <si>
    <t>195203687940</t>
  </si>
  <si>
    <t>CeCe Tie-Front Pull-On Paperbag Sho Rich Black 2</t>
  </si>
  <si>
    <t>193768510451</t>
  </si>
  <si>
    <t>1.STATE 1.STATE Strapless Ruffle Tiere Rich Black S</t>
  </si>
  <si>
    <t>194288134103</t>
  </si>
  <si>
    <t>Kasper Plus Size Open-Front Ruffled C Pink Perfection 1X</t>
  </si>
  <si>
    <t>93488097860</t>
  </si>
  <si>
    <t>Tommy Hilfiger TH Flex Tribeca Piped-Trim Ski Cheasapeak Wash 6</t>
  </si>
  <si>
    <t>190607113873</t>
  </si>
  <si>
    <t>O1GA17K68I1</t>
  </si>
  <si>
    <t>GUESS Cotton Cropped Drawcord-Waist Washed Out Pink S</t>
  </si>
  <si>
    <t>7618483394382</t>
  </si>
  <si>
    <t>W1YB01RCWA2</t>
  </si>
  <si>
    <t>GUESS Brynn Linen Shorts Bleached Tropical Print S</t>
  </si>
  <si>
    <t>195124295903</t>
  </si>
  <si>
    <t>ELEVEN PARIS Tie-Dye Cotton Drawstring Shor Limoges Blue Tie Dye XS</t>
  </si>
  <si>
    <t>829468930762</t>
  </si>
  <si>
    <t>DKNY Jeans Juniors Acid Wash Hoodie Washed Teal XS</t>
  </si>
  <si>
    <t>795728942809</t>
  </si>
  <si>
    <t>Bar III Plus Size Flared-Cuff Blouse Black 3X</t>
  </si>
  <si>
    <t>93488998501</t>
  </si>
  <si>
    <t>Bar III Plus Size Flared-Cuff Blouse Black 1X</t>
  </si>
  <si>
    <t>93488998488</t>
  </si>
  <si>
    <t>Bar III Plus Size Flared-Cuff Blouse Black 2X</t>
  </si>
  <si>
    <t>93488998495</t>
  </si>
  <si>
    <t>BAM by Betsy Adam Hoodie with Removable Mask Stone M</t>
  </si>
  <si>
    <t>195170020726</t>
  </si>
  <si>
    <t>M1HA1583</t>
  </si>
  <si>
    <t>Calvin Klein Metallic Trim Long Sleeve Sati Smoke S</t>
  </si>
  <si>
    <t>195841360298</t>
  </si>
  <si>
    <t>Calvin Klein Ruffle Trim Long Sleeve Blouse Blush S</t>
  </si>
  <si>
    <t>195046648863</t>
  </si>
  <si>
    <t>M1GKH246</t>
  </si>
  <si>
    <t>Calvin Klein x Cafe Ole L</t>
  </si>
  <si>
    <t>195841748096</t>
  </si>
  <si>
    <t>M1DKH210</t>
  </si>
  <si>
    <t>Calvin Klein Tech Stretch Belted Ankle Pant Black L</t>
  </si>
  <si>
    <t>195046074167</t>
  </si>
  <si>
    <t>Calvin Klein Long Sleeve Button Front Knit Heather Granite XL</t>
  </si>
  <si>
    <t>195841685018</t>
  </si>
  <si>
    <t>Calvin Klein Long Sleeve Button Front Knit Heather Granite S</t>
  </si>
  <si>
    <t>195841685049</t>
  </si>
  <si>
    <t>Calvin Klein Metallic Trim Long Sleeve Sati Black XL</t>
  </si>
  <si>
    <t>195841684516</t>
  </si>
  <si>
    <t>Kasper Plus Size Pull-On Polished Den Onxy Wash 24W</t>
  </si>
  <si>
    <t>93488780199</t>
  </si>
  <si>
    <t>H18P5221</t>
  </si>
  <si>
    <t>Tommy Hilfiger Slim Leg Ankle Pants Midnight Multi 12</t>
  </si>
  <si>
    <t>195105498941</t>
  </si>
  <si>
    <t>SHELL: COTTON/POLYESTER/ACRYLIC; LINING: POLYESTER/SPANDEX</t>
  </si>
  <si>
    <t>T88S7140</t>
  </si>
  <si>
    <t>Calvin Klein Petite Tweed Pencil Skirt Lt Beige 8P</t>
  </si>
  <si>
    <t>192351471131</t>
  </si>
  <si>
    <t>BAM by Betsy Adam Side-Zip Hoodie with Removable Black M</t>
  </si>
  <si>
    <t>195170020122</t>
  </si>
  <si>
    <t>W9DM6504</t>
  </si>
  <si>
    <t>Tommy Hilfiger Plus Size Embroidered Smocked Sky Captain 2X</t>
  </si>
  <si>
    <t>190607283804</t>
  </si>
  <si>
    <t>J0FD0505</t>
  </si>
  <si>
    <t>Tommy Hilfiger Lace-Up Shift Dress Samba L</t>
  </si>
  <si>
    <t>190607247288</t>
  </si>
  <si>
    <t>W1YD21RCWA1</t>
  </si>
  <si>
    <t>GUESS Surfari Cargo Skirt Tie Dye Zebra Print Blue 2</t>
  </si>
  <si>
    <t>195124296801</t>
  </si>
  <si>
    <t>W1YH38R1LU5</t>
  </si>
  <si>
    <t>GUESS Skylar Open-Back Balloon-Sleev Aloe Palm XL</t>
  </si>
  <si>
    <t>195124299147</t>
  </si>
  <si>
    <t>W1GD25RBNY1</t>
  </si>
  <si>
    <t>GUESS Larison Gingham-Print Ruffled Light Matcha Multi S</t>
  </si>
  <si>
    <t>195124165343</t>
  </si>
  <si>
    <t>T0FZ2IGA</t>
  </si>
  <si>
    <t>Tommy Jeans Cotton Zip-Up Denim Romper Black Creek M</t>
  </si>
  <si>
    <t>190607205400</t>
  </si>
  <si>
    <t>Kasper Plus Size Slim-Leg Pants Fire Red 16W</t>
  </si>
  <si>
    <t>93488469193</t>
  </si>
  <si>
    <t>1 STATE/BERNARD CHAUS-CONSIGN</t>
  </si>
  <si>
    <t>1.STATE Ruffled-Trim Blouse Firecely Fuschia S</t>
  </si>
  <si>
    <t>194288134035</t>
  </si>
  <si>
    <t>Anne Klein Plus Size Jogger Pants Burnt Siena 2X</t>
  </si>
  <si>
    <t>93488820222</t>
  </si>
  <si>
    <t>POLYESTER/RAYON/SPANDEX; LINING: POLYESTER/SPANDEX</t>
  </si>
  <si>
    <t>X9JPL037</t>
  </si>
  <si>
    <t>Calvin Klein Plus Size Slim-Fit Pants Blush 20W</t>
  </si>
  <si>
    <t>194414750627</t>
  </si>
  <si>
    <t>ELEVEN PARIS Graphic Sweat Shorts White S</t>
  </si>
  <si>
    <t>829468909881</t>
  </si>
  <si>
    <t>Calvin Klein Plus Size Mid-Rise Elastic Wai Aubergine 14W</t>
  </si>
  <si>
    <t>195841737489</t>
  </si>
  <si>
    <t>X12PC884</t>
  </si>
  <si>
    <t>Calvin Klein Plus Size Slim-Leg Pants Klein Blue 22W</t>
  </si>
  <si>
    <t>195046286997</t>
  </si>
  <si>
    <t>Kasper Plus Size Cropped Ankle Pants Mariner Blue 20W</t>
  </si>
  <si>
    <t>93488300427</t>
  </si>
  <si>
    <t>COTTON/ACRYLIC/POLYESTER</t>
  </si>
  <si>
    <t>CeCe 3D Polka Dot Sweater Light Heather Grey L</t>
  </si>
  <si>
    <t>193768177715</t>
  </si>
  <si>
    <t>CeCe 3D Polka Dot Sweater Antique White L</t>
  </si>
  <si>
    <t>193768177784</t>
  </si>
  <si>
    <t>BAM110MT1</t>
  </si>
  <si>
    <t>BAM by Betsy Adam Cropped Zip-Up Hoodie With Rem Black Cloud S</t>
  </si>
  <si>
    <t>195170020863</t>
  </si>
  <si>
    <t>BAM by Betsy Adam Cropped Zip-Up Hoodie With Rem Black Cloud M</t>
  </si>
  <si>
    <t>195170020870</t>
  </si>
  <si>
    <t>Anne Klein Wrap Dress Blue Horizon XL</t>
  </si>
  <si>
    <t>93488820802</t>
  </si>
  <si>
    <t>ELEVEN PARIS Ombre Maxi Dress Orchid Hush S</t>
  </si>
  <si>
    <t>829468918678</t>
  </si>
  <si>
    <t>ELEVEN PARIS Ombre Maxi Dress Orchid Hush L</t>
  </si>
  <si>
    <t>829468918692</t>
  </si>
  <si>
    <t>BRNOVERFLW</t>
  </si>
  <si>
    <t>W1YA33D3YG2</t>
  </si>
  <si>
    <t>GUESS 80s Straight-Leg Jeans Maggie May 31</t>
  </si>
  <si>
    <t>7620207276607</t>
  </si>
  <si>
    <t>W1YD84D3Y0G</t>
  </si>
  <si>
    <t>GUESS Distressed Denim Mini Skirt Stairway. 26</t>
  </si>
  <si>
    <t>7620207155582</t>
  </si>
  <si>
    <t>TSMU1WP248</t>
  </si>
  <si>
    <t>Tahari ASL Culotte Pants Dark Pomegranate 14</t>
  </si>
  <si>
    <t>635273854373</t>
  </si>
  <si>
    <t>UH1PA312</t>
  </si>
  <si>
    <t>DKNY Essex Ankle Pants Grey Heather 4</t>
  </si>
  <si>
    <t>782212747804</t>
  </si>
  <si>
    <t>INC International Concepts Ruffled Swiss-Dot Dress Navy 4</t>
  </si>
  <si>
    <t>93488288077</t>
  </si>
  <si>
    <t>M1HSW770</t>
  </si>
  <si>
    <t>Calvin Klein Metallic Plaid Sweater Light BlueSilver L</t>
  </si>
  <si>
    <t>195841684677</t>
  </si>
  <si>
    <t>FW2120</t>
  </si>
  <si>
    <t>LNA Ribbed Layered-Look Cut-Out Ta Heather Grey L</t>
  </si>
  <si>
    <t>840201224788</t>
  </si>
  <si>
    <t>LNA Ribbed Layered-Look Cut-Out Ta Heather Grey XL</t>
  </si>
  <si>
    <t>840201224795</t>
  </si>
  <si>
    <t>LNA Ribbed Layered-Look Cut-Out Ta Heather Grey XS</t>
  </si>
  <si>
    <t>840201224757</t>
  </si>
  <si>
    <t>Anne Klein Drape-Front Peplum 34-Sleeve Magritte Blue XXL</t>
  </si>
  <si>
    <t>93488298434</t>
  </si>
  <si>
    <t>W1YK05R2BF4</t>
  </si>
  <si>
    <t>GUESS Shay Mixed-Rib Bodycon Dress Summer Orange Multi XL</t>
  </si>
  <si>
    <t>195124302229</t>
  </si>
  <si>
    <t>GUESS Engineered Ribbed Midi Dress Grecian Blue S</t>
  </si>
  <si>
    <t>195124090546</t>
  </si>
  <si>
    <t>GUESS Haley Ribbed Bodycon Dress Pastel Dream L</t>
  </si>
  <si>
    <t>195124316127</t>
  </si>
  <si>
    <t>W1YB04WD8G3</t>
  </si>
  <si>
    <t>GUESS Chaz High Waist Satin Palazzo Black 0</t>
  </si>
  <si>
    <t>195124423610</t>
  </si>
  <si>
    <t>GUESS Haley Ribbed Bodycon Dress Pastel Dream M</t>
  </si>
  <si>
    <t>195124316134</t>
  </si>
  <si>
    <t>W1YK85Z2U00</t>
  </si>
  <si>
    <t>GUESS Charlotte Bodycon Sweater Dres Baja Palm XS</t>
  </si>
  <si>
    <t>7620207169114</t>
  </si>
  <si>
    <t>W1GA20RDX70</t>
  </si>
  <si>
    <t>GUESS Bowie Cargo Chino Pants Cream White Multi 29</t>
  </si>
  <si>
    <t>195124293473</t>
  </si>
  <si>
    <t>GUESS 1981 Cropped Skinny Jeans Pastel Dream Multi 25</t>
  </si>
  <si>
    <t>195124295101</t>
  </si>
  <si>
    <t>GUESS 1981 Cropped Skinny Jeans Moccasin Multi 25</t>
  </si>
  <si>
    <t>195124294845</t>
  </si>
  <si>
    <t>UE1VX964</t>
  </si>
  <si>
    <t>DKNY Belted Vest Denim Blue 10</t>
  </si>
  <si>
    <t>794278452561</t>
  </si>
  <si>
    <t>W1YA05R4660</t>
  </si>
  <si>
    <t>GUESS Sexy Curve Skinny Jeans Double Down 24</t>
  </si>
  <si>
    <t>195124294081</t>
  </si>
  <si>
    <t>W1GK29RD8G1</t>
  </si>
  <si>
    <t>GUESS Shonda Belted Shirt Dress Cream White Multi S</t>
  </si>
  <si>
    <t>195124158123</t>
  </si>
  <si>
    <t>GUESS Braided-Waist Skinny Jeans Happy Hour 30</t>
  </si>
  <si>
    <t>195124294654</t>
  </si>
  <si>
    <t>XL 30</t>
  </si>
  <si>
    <t>W1YB0FWDPA3</t>
  </si>
  <si>
    <t>GUESS Cargo Pants SUMMER ORANGE XL</t>
  </si>
  <si>
    <t>7620207151508</t>
  </si>
  <si>
    <t>XS 30</t>
  </si>
  <si>
    <t>GUESS Cargo Pants SUMMER ORANGE XS</t>
  </si>
  <si>
    <t>7620207151461</t>
  </si>
  <si>
    <t>W1YK48RCWA1</t>
  </si>
  <si>
    <t>GUESS Sleeveless Aileen Dress Patio Stripe Print Blue S</t>
  </si>
  <si>
    <t>195124304049</t>
  </si>
  <si>
    <t>M1DCH117</t>
  </si>
  <si>
    <t>Calvin Klein Tech Zip-Front Stretch Jacket Black S</t>
  </si>
  <si>
    <t>195046074730</t>
  </si>
  <si>
    <t>Kasper Notch-Collar One-Button Blazer Lily White 18</t>
  </si>
  <si>
    <t>93488138518</t>
  </si>
  <si>
    <t>GUESS Tristian Belted Dress Face M Cream White 4</t>
  </si>
  <si>
    <t>195124303561</t>
  </si>
  <si>
    <t>SPANDEX/RAYON/POLYESTER; LINING: POLYESTER</t>
  </si>
  <si>
    <t>XFBJL910</t>
  </si>
  <si>
    <t>Calvin Klein Plus Size, Fit Solutions, Zip- Black 16W</t>
  </si>
  <si>
    <t>700289944070</t>
  </si>
  <si>
    <t>T16JU966</t>
  </si>
  <si>
    <t>Calvin Klein French Terry Long Cardigan Black PXS</t>
  </si>
  <si>
    <t>193623038137</t>
  </si>
  <si>
    <t>Calvin Klein Petite Plaid Blazer Charcoal Multi 8P</t>
  </si>
  <si>
    <t>195841696434</t>
  </si>
  <si>
    <t>Kasper Petite Graphic Print Jacquard Valencia Orange Multi 8P</t>
  </si>
  <si>
    <t>93488084273</t>
  </si>
  <si>
    <t>ELEVEN PARIS Hooded Sweatshirt White S</t>
  </si>
  <si>
    <t>829468909782</t>
  </si>
  <si>
    <t>57% COTTON/28% ACRYLIC/15% POLYESTER</t>
  </si>
  <si>
    <t>78PXB</t>
  </si>
  <si>
    <t>French Connection Puff-Sleeve Sweater Berry Blush 8</t>
  </si>
  <si>
    <t>192942787412</t>
  </si>
  <si>
    <t>X17JC639</t>
  </si>
  <si>
    <t>Calvin Klein Plus Size Open-Front Roll-Cuff Aubergine 16W</t>
  </si>
  <si>
    <t>195841737533</t>
  </si>
  <si>
    <t>Splendid Alanis T-Shirt Lead M</t>
  </si>
  <si>
    <t>193666596601</t>
  </si>
  <si>
    <t>FW2197</t>
  </si>
  <si>
    <t>LNA Wave Cotton Cut-Out Top Olive L</t>
  </si>
  <si>
    <t>840201224986</t>
  </si>
  <si>
    <t>LNA Wave Cotton Cut-Out Top Olive XS</t>
  </si>
  <si>
    <t>840201224955</t>
  </si>
  <si>
    <t>LNA Wave Cotton Cut-Out Top Olive XL</t>
  </si>
  <si>
    <t>840201224993</t>
  </si>
  <si>
    <t>TSMS1WJ446</t>
  </si>
  <si>
    <t>Tahari ASL Tie-Waist Shirt Jacket Dynasty Green 2</t>
  </si>
  <si>
    <t>663309972173</t>
  </si>
  <si>
    <t>GS0595353</t>
  </si>
  <si>
    <t>JEN7 Skinny Ankle Jeans Birchwood 14</t>
  </si>
  <si>
    <t>190392776109</t>
  </si>
  <si>
    <t>FW2119</t>
  </si>
  <si>
    <t>LNA Tether Rib Crop Top Black M</t>
  </si>
  <si>
    <t>840201228601</t>
  </si>
  <si>
    <t>LNA Tether Rib Crop Top Black XS</t>
  </si>
  <si>
    <t>840201228588</t>
  </si>
  <si>
    <t>LNA Tether Rib Crop Top White L</t>
  </si>
  <si>
    <t>840201226836</t>
  </si>
  <si>
    <t>LNA Tether Rib Crop Top White XL</t>
  </si>
  <si>
    <t>840201226843</t>
  </si>
  <si>
    <t>LNA Tether Rib Crop Top White S</t>
  </si>
  <si>
    <t>840201226812</t>
  </si>
  <si>
    <t>L1GBX903</t>
  </si>
  <si>
    <t>Karl Lagerfeld Paris Printed Tie-Waist Dress Blck Multi 14</t>
  </si>
  <si>
    <t>194775536632</t>
  </si>
  <si>
    <t>M1HCO117</t>
  </si>
  <si>
    <t>Calvin Klein Faux Leather Peplum Jacket Black M</t>
  </si>
  <si>
    <t>195841688637</t>
  </si>
  <si>
    <t>B NEW YORK/PACIFIC ALLIANCE MFG</t>
  </si>
  <si>
    <t>JJMS1WT258</t>
  </si>
  <si>
    <t>b new york Printed Long Blouse Ribbons Multi 696 XS</t>
  </si>
  <si>
    <t>663309953301</t>
  </si>
  <si>
    <t>COCOA</t>
  </si>
  <si>
    <t>FW2140</t>
  </si>
  <si>
    <t>LNA Kaya Tank Top Sand S</t>
  </si>
  <si>
    <t>840201226966</t>
  </si>
  <si>
    <t>LNA Kaya Tank Top Sand M</t>
  </si>
  <si>
    <t>840201226973</t>
  </si>
  <si>
    <t>LNA Kaya Tank Top Sand L</t>
  </si>
  <si>
    <t>840201226980</t>
  </si>
  <si>
    <t>LNA Kaya Tank Top Black L</t>
  </si>
  <si>
    <t>840201228762</t>
  </si>
  <si>
    <t>LNA Kaya Tank Top Black M</t>
  </si>
  <si>
    <t>840201228755</t>
  </si>
  <si>
    <t>Nicole Miller Solid Textured Embroidered-Ele Safari M</t>
  </si>
  <si>
    <t>794566330687</t>
  </si>
  <si>
    <t>Nicole Miller Solid Textured Embroidered-Ele Dark Green S</t>
  </si>
  <si>
    <t>794566316841</t>
  </si>
  <si>
    <t>MADE IN INDIA</t>
  </si>
  <si>
    <t>71RAL</t>
  </si>
  <si>
    <t>French Connection Erika Smocked Dress Deep Moss Multi S</t>
  </si>
  <si>
    <t>192942935516</t>
  </si>
  <si>
    <t>French Connection Erika Smocked Dress Deep Moss Multi XS</t>
  </si>
  <si>
    <t>192942945560</t>
  </si>
  <si>
    <t>Nicole Miller Nicole Miller Crochet Eyelet P Dark Green P</t>
  </si>
  <si>
    <t>794566319392</t>
  </si>
  <si>
    <t>Nicole Miller Nicole Miller Crochet Eyelet P Black M</t>
  </si>
  <si>
    <t>794566325959</t>
  </si>
  <si>
    <t>Nicole Miller Nicole Miller Crochet Eyelet P Dark Green M</t>
  </si>
  <si>
    <t>794566319415</t>
  </si>
  <si>
    <t>PINKOVERFL</t>
  </si>
  <si>
    <t>W1GN14D2G6M</t>
  </si>
  <si>
    <t>GUESS Bella Printed Denim Jacket Hollywood Pop Sapphire S</t>
  </si>
  <si>
    <t>7618483458305</t>
  </si>
  <si>
    <t>GUESS Bella Printed Denim Jacket Hollywood Pop Sapphire L</t>
  </si>
  <si>
    <t>7618483458329</t>
  </si>
  <si>
    <t>Nicole Miller Thai Jungle Cotton French Terr Beige M</t>
  </si>
  <si>
    <t>794566324372</t>
  </si>
  <si>
    <t>FW2194</t>
  </si>
  <si>
    <t>LNA Ashra Cotton Slub Top Sand S</t>
  </si>
  <si>
    <t>840201229097</t>
  </si>
  <si>
    <t>LNA Ashra Cotton Slub Top Sand XS</t>
  </si>
  <si>
    <t>840201229080</t>
  </si>
  <si>
    <t>FW2161</t>
  </si>
  <si>
    <t>LNA Leo Sweatshirt Black XS</t>
  </si>
  <si>
    <t>840201223958</t>
  </si>
  <si>
    <t>PET/SMALL</t>
  </si>
  <si>
    <t>S1OJ1-D4991P</t>
  </si>
  <si>
    <t>Eileen Fisher Petite Crewneck Short-Sleeve D Black PS</t>
  </si>
  <si>
    <t>193481724869</t>
  </si>
  <si>
    <t>Nicole Miller Womens Charmeuse Top Black M</t>
  </si>
  <si>
    <t>794566328509</t>
  </si>
  <si>
    <t>S1VF-D4996P</t>
  </si>
  <si>
    <t>Eileen Fisher Anne Klein Barbour Black PM</t>
  </si>
  <si>
    <t>193481732321</t>
  </si>
  <si>
    <t>Nicole Miller Metal Striped Cropped Bra Top Gray Stripe M</t>
  </si>
  <si>
    <t>794566332919</t>
  </si>
  <si>
    <t>Nicole Miller Jasmine Floral Print One-Shoul Natural M</t>
  </si>
  <si>
    <t>794566318715</t>
  </si>
  <si>
    <t>Marella Marella Split-Neck Top Lilac 2</t>
  </si>
  <si>
    <t>8056232513339</t>
  </si>
  <si>
    <t>Nicole Miller Womens Cotton Tie-Dye-Print C Beige M</t>
  </si>
  <si>
    <t>794566328899</t>
  </si>
  <si>
    <t>Nicole Miller Womens Cotton Tie-Dye-Print C Beige XL</t>
  </si>
  <si>
    <t>794566328912</t>
  </si>
  <si>
    <t>Weekend Max Mara Weekend Max Mara Mixed-Media P Blu Azzurro L</t>
  </si>
  <si>
    <t>8051312445500</t>
  </si>
  <si>
    <t>Nicole Miller Garment Dyed Charmeuse Jogger Black M</t>
  </si>
  <si>
    <t>794566315301</t>
  </si>
  <si>
    <t>Nicole Miller Metal Striped Wrap Top Gray Stripe M</t>
  </si>
  <si>
    <t>794566315554</t>
  </si>
  <si>
    <t>D11WHUD</t>
  </si>
  <si>
    <t>Dauntless Hudson Classic Moto Jacket Black L</t>
  </si>
  <si>
    <t>850027946030</t>
  </si>
  <si>
    <t>Champion Womens Classic USA-Graphic T- White XL</t>
  </si>
  <si>
    <t>194959356346</t>
  </si>
  <si>
    <t>Riley Rae Bella Skirt Preppy Navy XS</t>
  </si>
  <si>
    <t>195203400181</t>
  </si>
  <si>
    <t>RSD161A</t>
  </si>
  <si>
    <t>Splendid Camino Star-Print Leggings Heather Grey XL</t>
  </si>
  <si>
    <t>193666531039</t>
  </si>
  <si>
    <t>Riley Rae Kaia Ribbed Lettuce-Edge Top Preppy Navy XXS</t>
  </si>
  <si>
    <t>195203513003</t>
  </si>
  <si>
    <t>15</t>
  </si>
  <si>
    <t>J6026TW</t>
  </si>
  <si>
    <t>Dickies Cotton Carpenter Shorts Black 15</t>
  </si>
  <si>
    <t>792831299660</t>
  </si>
  <si>
    <t>RAIL STR CAPRI STRIPE</t>
  </si>
  <si>
    <t>8866572747</t>
  </si>
  <si>
    <t>W1YI0VK46D0</t>
  </si>
  <si>
    <t>GUESS Francine Relaxed-Fit T-Shirt Parchment Tone XL</t>
  </si>
  <si>
    <t>7620207159733</t>
  </si>
  <si>
    <t>Tommy Jeans Logo-Tape Bike Shorts Scarlet XS</t>
  </si>
  <si>
    <t>195105789063</t>
  </si>
  <si>
    <t>J0FH0877</t>
  </si>
  <si>
    <t>Tommy Hilfiger Printed-Back Cuffed-Sleeve Top Tea Rose XXL</t>
  </si>
  <si>
    <t>190607222810</t>
  </si>
  <si>
    <t>Riley Rae Leopard-Print Smocked Top Leopard Print XS</t>
  </si>
  <si>
    <t>195203796598</t>
  </si>
  <si>
    <t>9</t>
  </si>
  <si>
    <t>J6028SDBD0647E</t>
  </si>
  <si>
    <t>Dickies Juniors Belted Roll-Cuff Deni Super Light Stone 9</t>
  </si>
  <si>
    <t>792831379560</t>
  </si>
  <si>
    <t>Riley Rae Nina Plaid Flannel Shirt NavyPink XXL</t>
  </si>
  <si>
    <t>195203334257</t>
  </si>
  <si>
    <t>KNIT TOP LACE</t>
  </si>
  <si>
    <t>716357570515</t>
  </si>
  <si>
    <t>716357570522</t>
  </si>
  <si>
    <t>CeCe Cap-Sleeve Ruffled-Neck Blouse Coral Sunset S</t>
  </si>
  <si>
    <t>195203806181</t>
  </si>
  <si>
    <t>M0EH7833</t>
  </si>
  <si>
    <t>DRAFT - 34 SLV WTWIST HW Soft White S</t>
  </si>
  <si>
    <t>194414220557</t>
  </si>
  <si>
    <t>DRAFT - 34 SLV WTWIST HW Soft White L</t>
  </si>
  <si>
    <t>194414220533</t>
  </si>
  <si>
    <t>MGST1005A</t>
  </si>
  <si>
    <t>Madden Girl Juniors Scrunched Drawstring Harbor Mist S</t>
  </si>
  <si>
    <t>193290736886</t>
  </si>
  <si>
    <t>190607387656</t>
  </si>
  <si>
    <t>190607387632</t>
  </si>
  <si>
    <t>H07TH001</t>
  </si>
  <si>
    <t>PLYR SLEEVELESHAF</t>
  </si>
  <si>
    <t>195105913994</t>
  </si>
  <si>
    <t>1.STATE 1.STATE Cropped Knit Cut-Out T Soft Ecru XXSmall</t>
  </si>
  <si>
    <t>194288232281</t>
  </si>
  <si>
    <t>UH1TLI94</t>
  </si>
  <si>
    <t>L/S SIDE RUCHE TOP</t>
  </si>
  <si>
    <t>782212666631</t>
  </si>
  <si>
    <t>782212666648</t>
  </si>
  <si>
    <t>J1FMH030</t>
  </si>
  <si>
    <t>Tommy Hilfiger Cotton Bandana-Print Popover T Sky Captain XL</t>
  </si>
  <si>
    <t>195105666289</t>
  </si>
  <si>
    <t>W1GH7802</t>
  </si>
  <si>
    <t>Calvin Klein Plus Size Sheer Puff-Sleeve To Soft White 3X</t>
  </si>
  <si>
    <t>195841729934</t>
  </si>
  <si>
    <t>Riley Rae Gia Funnel-Neck Waffle-Knit Sw Legacy Pink S</t>
  </si>
  <si>
    <t>195203659626</t>
  </si>
  <si>
    <t>CALVIN KLEN SPTWR/G-III APPAREL GRP</t>
  </si>
  <si>
    <t>C1AS0784</t>
  </si>
  <si>
    <t>Calvin Klein Cotton Peplum Sweater Hibiscus Pink S</t>
  </si>
  <si>
    <t>195046332618</t>
  </si>
  <si>
    <t>DRAFT - PRINTED ROLL TAB Blackwhite Floral M</t>
  </si>
  <si>
    <t>193623012199</t>
  </si>
  <si>
    <t>H04P5806</t>
  </si>
  <si>
    <t>STRAIGHT PANTS</t>
  </si>
  <si>
    <t>190607180318</t>
  </si>
  <si>
    <t>TP03912X</t>
  </si>
  <si>
    <t>SPRING MESH LACE UP</t>
  </si>
  <si>
    <t>190607387960</t>
  </si>
  <si>
    <t>Anne Klein Plus Size Printed Sleeveless T Cameilla 2X</t>
  </si>
  <si>
    <t>93488671442</t>
  </si>
  <si>
    <t>Nine West Ruffled-Sleeve Shift Dress Tutu Pink 8</t>
  </si>
  <si>
    <t>93488684879</t>
  </si>
  <si>
    <t>XG1P7401</t>
  </si>
  <si>
    <t>DKNY Petite Essex Ankle Pants Regatta Blue 4P</t>
  </si>
  <si>
    <t>782212754130</t>
  </si>
  <si>
    <t>J2003TW</t>
  </si>
  <si>
    <t>Dickies Denim Carpenter Overalls Airfoce Blue M</t>
  </si>
  <si>
    <t>792831407775</t>
  </si>
  <si>
    <t>W0EAT672</t>
  </si>
  <si>
    <t>Calvin Klein Plus Size Chiffon-Sleeve Blous Soft White 1X</t>
  </si>
  <si>
    <t>194414235261</t>
  </si>
  <si>
    <t>W1YH05WEA61</t>
  </si>
  <si>
    <t>GUESS Cotton Off-The-Shoulder Flare Pure White XS</t>
  </si>
  <si>
    <t>195124382306</t>
  </si>
  <si>
    <t>UD1S2981</t>
  </si>
  <si>
    <t>DKNY High-Rise Tie-Waist Skirt Rose Dust 14</t>
  </si>
  <si>
    <t>794278590720</t>
  </si>
  <si>
    <t>Anne Klein Sleeveless Trapeze Dress Anne Black M</t>
  </si>
  <si>
    <t>93488669272</t>
  </si>
  <si>
    <t>M1HAI557</t>
  </si>
  <si>
    <t>Calvin Klein 34 Sheer Sleeve Mock Neck Blo Klein Blue L</t>
  </si>
  <si>
    <t>195841683571</t>
  </si>
  <si>
    <t>Anne Klein Plus Size Bowie Tab-Waist Pant Poppy 18W</t>
  </si>
  <si>
    <t>93488222804</t>
  </si>
  <si>
    <t>CeCe Sheer Printed Ruffled Blouse Soft Ecru L</t>
  </si>
  <si>
    <t>193768619260</t>
  </si>
  <si>
    <t>W1GK02RD8G2</t>
  </si>
  <si>
    <t>GUESS Eden Collared Wrap Dress ASPHALT GREY L</t>
  </si>
  <si>
    <t>195124243348</t>
  </si>
  <si>
    <t>829468932605</t>
  </si>
  <si>
    <t>H17JP907</t>
  </si>
  <si>
    <t>Tommy Hilfiger Open-Front Double-Breasted Bla Crimson 8</t>
  </si>
  <si>
    <t>195105501085</t>
  </si>
  <si>
    <t>H15J5926</t>
  </si>
  <si>
    <t>Tommy Hilfiger Crinkled Long Jacket Midnight 4</t>
  </si>
  <si>
    <t>195105650684</t>
  </si>
  <si>
    <t>SS2149</t>
  </si>
  <si>
    <t>LNA LNA Cutout-Neck T-Shirt Black XL</t>
  </si>
  <si>
    <t>840201211290</t>
  </si>
  <si>
    <t>LD1EZ523</t>
  </si>
  <si>
    <t>RUFFLE CHIFFON FAUX WRAP</t>
  </si>
  <si>
    <t>194775637926</t>
  </si>
  <si>
    <t>L1DCZ102</t>
  </si>
  <si>
    <t>Karl Lagerfeld Paris Pinstriped Blazer WhiteBlack 6</t>
  </si>
  <si>
    <t>194775686573</t>
  </si>
  <si>
    <t>Nicole Miller Nicole Miller Crochet Eyelet P Black P</t>
  </si>
  <si>
    <t>794566325935</t>
  </si>
  <si>
    <t>DESIGUAL/NTS IT'S NOT THE SAME USA</t>
  </si>
  <si>
    <t>XSML</t>
  </si>
  <si>
    <t>21SWVKB7</t>
  </si>
  <si>
    <t>Desigual Printed Fitted South Beach Min Light Blue XS</t>
  </si>
  <si>
    <t>8445110204801</t>
  </si>
  <si>
    <t>P/S PETITE</t>
  </si>
  <si>
    <t>Eileen Fisher Eileen Fisher Slim Cropped Pan Casis PP</t>
  </si>
  <si>
    <t>193481725255</t>
  </si>
  <si>
    <t>S1YCD-P4389P</t>
  </si>
  <si>
    <t>Eileen Fisher Linen Checked Drawstring Ankle Black PL</t>
  </si>
  <si>
    <t>193481733380</t>
  </si>
  <si>
    <t>CITIZENS OF HUMANITY</t>
  </si>
  <si>
    <t>1487D-979</t>
  </si>
  <si>
    <t>Citizens of Humanity Rocket Mid-Rise Cropped Jeans Phantom 28L</t>
  </si>
  <si>
    <t>883435949089</t>
  </si>
  <si>
    <t>S1AKO-C1957M</t>
  </si>
  <si>
    <t>Eileen Fisher Hooded Jacket Ink M</t>
  </si>
  <si>
    <t>193481740210</t>
  </si>
  <si>
    <t>Nicole Miller Cashmere Jogger Pants Black M</t>
  </si>
  <si>
    <t>794566334951</t>
  </si>
  <si>
    <t>Marella Marella Printed Silk Top Lilac 2</t>
  </si>
  <si>
    <t>8056232463276</t>
  </si>
  <si>
    <t>S1AKO-C2030M</t>
  </si>
  <si>
    <t>Eileen Fisher Organic Stand-Collar Hooded Zi Khaki 3X</t>
  </si>
  <si>
    <t>193481588768</t>
  </si>
  <si>
    <t>F0OVC-K4993M</t>
  </si>
  <si>
    <t>Eileen Fisher Cotton Textured Long Cardigan Honey L</t>
  </si>
  <si>
    <t>193481380904</t>
  </si>
  <si>
    <t>CD18956</t>
  </si>
  <si>
    <t>Nicole Miller Nicole Miller Womens Embroide Bright White M</t>
  </si>
  <si>
    <t>794566230352</t>
  </si>
  <si>
    <t>12WXWDC081</t>
  </si>
  <si>
    <t>Junk Food Cotton Womens World-Graphic T Banana S</t>
  </si>
  <si>
    <t>194973633508</t>
  </si>
  <si>
    <t>M2270C586430</t>
  </si>
  <si>
    <t>Champion Cotton Pull-On Shorts Fantastic Fuchsia S</t>
  </si>
  <si>
    <t>77478960457</t>
  </si>
  <si>
    <t>Champion Womens Cotton Get Happy Short Pink XL</t>
  </si>
  <si>
    <t>194959321504</t>
  </si>
  <si>
    <t>Champion Womens Cotton Get Happy Short Pink S</t>
  </si>
  <si>
    <t>194959321474</t>
  </si>
  <si>
    <t>12UXCCV0031</t>
  </si>
  <si>
    <t>Junk Food Womens Cotton Coca-Cola Heart Soft Pink M</t>
  </si>
  <si>
    <t>194973578137</t>
  </si>
  <si>
    <t>12WXWS012</t>
  </si>
  <si>
    <t>Junk Food Womens Woodstock Graphic Prin Teal XS</t>
  </si>
  <si>
    <t>194973856730</t>
  </si>
  <si>
    <t>MGKT1035A</t>
  </si>
  <si>
    <t>Madden Girl Juniors Cotton Ruched Mesh Ca Orchid S</t>
  </si>
  <si>
    <t>193290738927</t>
  </si>
  <si>
    <t>MGS378K-OP</t>
  </si>
  <si>
    <t>Madden Girl Juniors Selena Stretch-Denim Black XS</t>
  </si>
  <si>
    <t>193290705264</t>
  </si>
  <si>
    <t>BUCK</t>
  </si>
  <si>
    <t>Riley Rae Stanford Ribbed Mock-Neck Top Buck M</t>
  </si>
  <si>
    <t>194288256751</t>
  </si>
  <si>
    <t>W1AHN139</t>
  </si>
  <si>
    <t>Tommy Hilfiger Plus Size Striped Cotton T-Shi Saturday Stripes- Iconic Multi 2X</t>
  </si>
  <si>
    <t>195105816967</t>
  </si>
  <si>
    <t>ALL COTTON</t>
  </si>
  <si>
    <t>J8SH0381</t>
  </si>
  <si>
    <t>Tommy Hilfiger Cotton Logo T-Shirt White XL</t>
  </si>
  <si>
    <t>192114944247</t>
  </si>
  <si>
    <t>W1AH0139</t>
  </si>
  <si>
    <t>Tommy Hilfiger Plus Size Cotton V-Neck T-Shir Bridal Rose 3X</t>
  </si>
  <si>
    <t>195105793947</t>
  </si>
  <si>
    <t>Champion Logo Cropped T-Shirt Beloved Orchid S</t>
  </si>
  <si>
    <t>77478917390</t>
  </si>
  <si>
    <t>Champion Womens Cotton Cropped T-Shirt Fantastic Fuchsia XS</t>
  </si>
  <si>
    <t>77478993813</t>
  </si>
  <si>
    <t>Champion Logo Cropped T-Shirt Fantastic Fuchsia S</t>
  </si>
  <si>
    <t>77478917512</t>
  </si>
  <si>
    <t>Champion Cropped Logo T-Shirt Athletic N XL</t>
  </si>
  <si>
    <t>194164671081</t>
  </si>
  <si>
    <t>W0GI71R9I50</t>
  </si>
  <si>
    <t>GUESS Juniors Logo Crop Tank Top Pure White XL</t>
  </si>
  <si>
    <t>193327469626</t>
  </si>
  <si>
    <t>RSD0210</t>
  </si>
  <si>
    <t>Splendid Vista Contrast-Stitched Croppe White XL</t>
  </si>
  <si>
    <t>193666561791</t>
  </si>
  <si>
    <t>Splendid Vista Contrast-Stitched Croppe White L</t>
  </si>
  <si>
    <t>193666561760</t>
  </si>
  <si>
    <t>W5927586540</t>
  </si>
  <si>
    <t>Champion Active Tie-Front T-Shirt White L</t>
  </si>
  <si>
    <t>77478984460</t>
  </si>
  <si>
    <t>T1CH0BIH</t>
  </si>
  <si>
    <t>Tommy Jeans Cotton V-Neck Logo T-Shirt Sky Captain S</t>
  </si>
  <si>
    <t>195105709764</t>
  </si>
  <si>
    <t>RSD0321</t>
  </si>
  <si>
    <t>Splendid Charli Tie-Dyed Sweatshirt Black XS</t>
  </si>
  <si>
    <t>193666270792</t>
  </si>
  <si>
    <t>Riley Rae Ruffled Off-the-Shoulder Top Amber Sun XS</t>
  </si>
  <si>
    <t>195203685335</t>
  </si>
  <si>
    <t>Riley Rae Ruffled Off-the-Shoulder Top Rich Black XS</t>
  </si>
  <si>
    <t>195203685052</t>
  </si>
  <si>
    <t>TP18823S</t>
  </si>
  <si>
    <t>Tommy Hilfiger Womens Star-Print Bike Shorts Black S</t>
  </si>
  <si>
    <t>195105681619</t>
  </si>
  <si>
    <t>J9EHH123</t>
  </si>
  <si>
    <t>Tommy Hilfiger Printed Striped Cotton Polo Sky Captain Multi XS</t>
  </si>
  <si>
    <t>192114340186</t>
  </si>
  <si>
    <t>Tommy Hilfiger Womens Twisted Tank Top Fuchsia Piank XS</t>
  </si>
  <si>
    <t>195105680537</t>
  </si>
  <si>
    <t>Tommy Hilfiger Womens Twisted Tank Top Fuchsia Piank M</t>
  </si>
  <si>
    <t>195105680513</t>
  </si>
  <si>
    <t>Tommy Hilfiger Womens Star-Print Bike Shorts Black M</t>
  </si>
  <si>
    <t>195105681602</t>
  </si>
  <si>
    <t>Riley Rae Drawstring Shorts Preppy Navy S</t>
  </si>
  <si>
    <t>195203684857</t>
  </si>
  <si>
    <t>Riley Rae Drawstring Shorts Preppy Navy L</t>
  </si>
  <si>
    <t>195203684871</t>
  </si>
  <si>
    <t>Riley Rae Drawstring Shorts Amber Sun XS</t>
  </si>
  <si>
    <t>195203684987</t>
  </si>
  <si>
    <t>P0HXMDNA</t>
  </si>
  <si>
    <t>DKNY Beaded Logo T-Shirt White XL</t>
  </si>
  <si>
    <t>795730092202</t>
  </si>
  <si>
    <t>Gloria Vanderbilt Gloria Vanderbilt Womens Aman Hinsdale 10</t>
  </si>
  <si>
    <t>8867636226</t>
  </si>
  <si>
    <t>Tommy Jeans Floral Ruffle Shorts Khaki Multi S</t>
  </si>
  <si>
    <t>190607313778</t>
  </si>
  <si>
    <t>Riley Rae Chelsea Striped Sweater Rich Black XXL</t>
  </si>
  <si>
    <t>195203159492</t>
  </si>
  <si>
    <t>Calvin Klein Cap Sleeve Henley Soft White M</t>
  </si>
  <si>
    <t>195046384150</t>
  </si>
  <si>
    <t>CeCe Puff-Sleeve Knit Top Ultra White XL</t>
  </si>
  <si>
    <t>720655532939</t>
  </si>
  <si>
    <t>81214310C2</t>
  </si>
  <si>
    <t>1.STATE 1.STATE Ruched Front Tee Shirt Rich Black S</t>
  </si>
  <si>
    <t>195203780757</t>
  </si>
  <si>
    <t>Gloria Vanderbilt Gloria Vanderbilt Womens Crop Medium Blue 14</t>
  </si>
  <si>
    <t>8866848637</t>
  </si>
  <si>
    <t>W1AH0490</t>
  </si>
  <si>
    <t>Tommy Hilfiger Plus Size Heart Flag T-Shirt Bright White 1X</t>
  </si>
  <si>
    <t>195105813027</t>
  </si>
  <si>
    <t>W0CHH807</t>
  </si>
  <si>
    <t>Tommy Hilfiger Plus Size Floral-Print Crewnec White 0X</t>
  </si>
  <si>
    <t>190607309818</t>
  </si>
  <si>
    <t>Tommy Hilfiger Plus Size Floral-Print Crewnec White 3X</t>
  </si>
  <si>
    <t>190607309825</t>
  </si>
  <si>
    <t>Tommy Hilfiger Plus Size Floral-Print Crewnec White 2X</t>
  </si>
  <si>
    <t>190607309832</t>
  </si>
  <si>
    <t>W1EH0490</t>
  </si>
  <si>
    <t>Tommy Hilfiger Plus Size Embroidered Heart Lo ScarletSky Captain 0X</t>
  </si>
  <si>
    <t>195105687109</t>
  </si>
  <si>
    <t>GUESS Alma Seamless Bike Shorts Soft Purple Melange ML</t>
  </si>
  <si>
    <t>7618483945157</t>
  </si>
  <si>
    <t>GUESS Alma Seamless Bike Shorts Polly Pink Melange ML</t>
  </si>
  <si>
    <t>7618483945119</t>
  </si>
  <si>
    <t>RSD0330</t>
  </si>
  <si>
    <t>Splendid Jada Thermal Top Earl Grey L</t>
  </si>
  <si>
    <t>193666561968</t>
  </si>
  <si>
    <t>Tommy Jeans Logo-Tape Bike Shorts Scarlet XL</t>
  </si>
  <si>
    <t>195105789025</t>
  </si>
  <si>
    <t>T1EH0AFD</t>
  </si>
  <si>
    <t>Tommy Jeans Drawstring-Hem Pullover Rainbo Bright White L</t>
  </si>
  <si>
    <t>195105699768</t>
  </si>
  <si>
    <t>Madden Girl Juniors Printed Smocked Dress Ivory S</t>
  </si>
  <si>
    <t>193290688468</t>
  </si>
  <si>
    <t>MGS525X-ZZX</t>
  </si>
  <si>
    <t>Madden Girl Madden Girl Juniors High-Rise Lt. Wash 28</t>
  </si>
  <si>
    <t>193290731645</t>
  </si>
  <si>
    <t>P1GH0KOU</t>
  </si>
  <si>
    <t>DKNY DKNY Contrast-Seam T-Shirt Lichen XL</t>
  </si>
  <si>
    <t>782212838144</t>
  </si>
  <si>
    <t>PF0X3196</t>
  </si>
  <si>
    <t>Calvin Klein Plus Size Solid Rolled-Cuff To Black 2X</t>
  </si>
  <si>
    <t>194414397037</t>
  </si>
  <si>
    <t>Calvin Klein Plus Size Logo-Print T-Shirt Aquatic 3X</t>
  </si>
  <si>
    <t>195841932594</t>
  </si>
  <si>
    <t>Anne Klein Scoop-Neck Shell White XL</t>
  </si>
  <si>
    <t>716357991662</t>
  </si>
  <si>
    <t>COTTON/SPANDEX; DRAWCORD: COTTON</t>
  </si>
  <si>
    <t>TP97093P</t>
  </si>
  <si>
    <t>Tommy Hilfiger Side-Striped Jogger Pants Black XS</t>
  </si>
  <si>
    <t>192114232061</t>
  </si>
  <si>
    <t>Champion Womens Printed Crop Top Organic Floral Black XL</t>
  </si>
  <si>
    <t>77478982497</t>
  </si>
  <si>
    <t>Tommy Hilfiger Logo Mini Skirt Black M</t>
  </si>
  <si>
    <t>190607441778</t>
  </si>
  <si>
    <t>J0FH0999</t>
  </si>
  <si>
    <t>Tommy Hilfiger Cotton Printed Caftan T-Shirt Sunflower L</t>
  </si>
  <si>
    <t>190607222506</t>
  </si>
  <si>
    <t>TP03929T</t>
  </si>
  <si>
    <t>Tommy Hilfiger Womens Sprint Mesh Sleeveless White S</t>
  </si>
  <si>
    <t>190607178025</t>
  </si>
  <si>
    <t>Tommy Hilfiger Womens Sprint Mesh Sleeveless White L</t>
  </si>
  <si>
    <t>190607178001</t>
  </si>
  <si>
    <t>Tommy Hilfiger Logo Mini Skirt White Stone Heather S</t>
  </si>
  <si>
    <t>190607441730</t>
  </si>
  <si>
    <t>TP18331Z</t>
  </si>
  <si>
    <t>Tommy Hilfiger Womens Faux-Wrap Dress Scuba Blue M</t>
  </si>
  <si>
    <t>195105777473</t>
  </si>
  <si>
    <t>TP03975X</t>
  </si>
  <si>
    <t>Tommy Hilfiger Plus Size Hooded Logo-Print T- Gray 3X</t>
  </si>
  <si>
    <t>190607169177</t>
  </si>
  <si>
    <t>J0GH0985</t>
  </si>
  <si>
    <t>Tommy Hilfiger Ruffle Rib-Knit Henley Top Flame Orange XS</t>
  </si>
  <si>
    <t>195105991206</t>
  </si>
  <si>
    <t>TP10680X</t>
  </si>
  <si>
    <t>Tommy Hilfiger Plus Size Logo-Print T-Shirt White 2X</t>
  </si>
  <si>
    <t>195105728635</t>
  </si>
  <si>
    <t>GF937586180</t>
  </si>
  <si>
    <t>Champion Womens Power-blend Applique J Athletic Navy XL</t>
  </si>
  <si>
    <t>194164718663</t>
  </si>
  <si>
    <t>DKNY Floral-Print V-Neck Top Ivory Herb Multi XS</t>
  </si>
  <si>
    <t>795730520774</t>
  </si>
  <si>
    <t>Bar III Plus Size Snake Print Camisole Ibiza Blue Combo 2X</t>
  </si>
  <si>
    <t>93488895633</t>
  </si>
  <si>
    <t>Anne Klein Denim and Sport Womens Marleigh Short Sleeve NYC White Large</t>
  </si>
  <si>
    <t>29023315779</t>
  </si>
  <si>
    <t>Calvin Klein Knit Logo-Bar Top Cerise S</t>
  </si>
  <si>
    <t>195046231027</t>
  </si>
  <si>
    <t>Calvin Klein Knit Logo-Bar Top Black S</t>
  </si>
  <si>
    <t>195046120369</t>
  </si>
  <si>
    <t>M1GHV064</t>
  </si>
  <si>
    <t>Calvin Klein Long Sleeve Ombre Knit Top Blush White Multi XS</t>
  </si>
  <si>
    <t>195841679420</t>
  </si>
  <si>
    <t>Riley Rae Seersucker Paperbag Shorts Ultra White XL</t>
  </si>
  <si>
    <t>195203522432</t>
  </si>
  <si>
    <t>J8SKN035</t>
  </si>
  <si>
    <t>Tommy Hilfiger Chino Pants Sandwhite 16</t>
  </si>
  <si>
    <t>192114961268</t>
  </si>
  <si>
    <t>MGPA01M-KR</t>
  </si>
  <si>
    <t>Madden Girl Icon Ripped Skinny Jeans Karly 28</t>
  </si>
  <si>
    <t>193290699143</t>
  </si>
  <si>
    <t>O1GA15MC03W</t>
  </si>
  <si>
    <t>GUESS Logo-Tape Active Sports Bra Lead Grey L</t>
  </si>
  <si>
    <t>7618483394153</t>
  </si>
  <si>
    <t>BAM107</t>
  </si>
  <si>
    <t>BAM by Betsy Adam Tank Top with Attached Mask Light Blue XS</t>
  </si>
  <si>
    <t>195170019454</t>
  </si>
  <si>
    <t>BAM by Betsy Adam Tank Top with Attached Mask Light Blue M</t>
  </si>
  <si>
    <t>195170019478</t>
  </si>
  <si>
    <t>MY3332CO</t>
  </si>
  <si>
    <t>Seven7 Utility Shorts Tea Rose 16</t>
  </si>
  <si>
    <t>194278195282</t>
  </si>
  <si>
    <t>T1EDNAHG</t>
  </si>
  <si>
    <t>Tommy Jeans Striped Ribbed Bodycon Dress Rouge Combo XXS</t>
  </si>
  <si>
    <t>195105699416</t>
  </si>
  <si>
    <t>Tommy Jeans Striped Ribbed Bodycon Dress Rouge Combo XS</t>
  </si>
  <si>
    <t>195105699409</t>
  </si>
  <si>
    <t>Tommy Jeans Striped Ribbed Bodycon Dress Rouge Combo XL</t>
  </si>
  <si>
    <t>195105699362</t>
  </si>
  <si>
    <t>Tommy Jeans Striped Ribbed Bodycon Dress Rouge Combo M</t>
  </si>
  <si>
    <t>195105699386</t>
  </si>
  <si>
    <t>GUESS Cotton Pique Polo Top Surf Jade Multi XS</t>
  </si>
  <si>
    <t>195124306296</t>
  </si>
  <si>
    <t>GUESS Short-Sleeve Seamless Top Light Matcha Melange XSS</t>
  </si>
  <si>
    <t>7620207520557</t>
  </si>
  <si>
    <t>O0BA16MC03W</t>
  </si>
  <si>
    <t>GUESS Lace-Up Leggings Skyline Light Blue S</t>
  </si>
  <si>
    <t>7618483938920</t>
  </si>
  <si>
    <t>GUESS Lace-Up Active Sports Bra Skyline Light Blue XS</t>
  </si>
  <si>
    <t>7618483938760</t>
  </si>
  <si>
    <t>GUESS Lace-Up Active Sports Bra Skyline Light Blue XL</t>
  </si>
  <si>
    <t>7618483938807</t>
  </si>
  <si>
    <t>W1GR98Z2U00</t>
  </si>
  <si>
    <t>GUESS Caren Crop Sweater Top Green Abyss XL</t>
  </si>
  <si>
    <t>7624302666585</t>
  </si>
  <si>
    <t>Madden Girl Juniors Scrunched Drawstring Harbor Mist XXL</t>
  </si>
  <si>
    <t>193290736923</t>
  </si>
  <si>
    <t>P13H1GRW</t>
  </si>
  <si>
    <t>DKNY Zip-Shoulder T-Shirt Terrine XL</t>
  </si>
  <si>
    <t>603556565704</t>
  </si>
  <si>
    <t>XG1TLB44</t>
  </si>
  <si>
    <t>DKNY Petite Side-Ruched Printed Top Regatta Blue Multi PS</t>
  </si>
  <si>
    <t>782212753997</t>
  </si>
  <si>
    <t>Tommy Hilfiger Tommy Hilfiger Sport Womens L Navy XS</t>
  </si>
  <si>
    <t>192114233266</t>
  </si>
  <si>
    <t>Tommy Hilfiger Tommy Hilfiger Sport Womens L White Stone Heather XS</t>
  </si>
  <si>
    <t>192114009168</t>
  </si>
  <si>
    <t>Tommy Hilfiger Tommy Hilfiger Sport Womens L Navy S</t>
  </si>
  <si>
    <t>192114233259</t>
  </si>
  <si>
    <t>Tommy Hilfiger Tommy Hilfiger Sport Womens L White Stone Heather L</t>
  </si>
  <si>
    <t>192114009137</t>
  </si>
  <si>
    <t>Tommy Hilfiger Tommy Hilfiger Sport Womens L Black XL</t>
  </si>
  <si>
    <t>192114233105</t>
  </si>
  <si>
    <t>Tommy Hilfiger Tommy Hilfiger Sport Womens F Rich Red XL</t>
  </si>
  <si>
    <t>192114232788</t>
  </si>
  <si>
    <t>W0FH0877</t>
  </si>
  <si>
    <t>Tommy Hilfiger Plus Size Mixed Media V-Neck T Tea Rose 1X</t>
  </si>
  <si>
    <t>190607200757</t>
  </si>
  <si>
    <t>TP18323Z</t>
  </si>
  <si>
    <t>Tommy Hilfiger Logo Hoodie Dress Pearl Grey Heather L</t>
  </si>
  <si>
    <t>195105831281</t>
  </si>
  <si>
    <t>Tommy Hilfiger Plus Size Mixed Media V-Neck T Tea Rose 3X</t>
  </si>
  <si>
    <t>190607200733</t>
  </si>
  <si>
    <t>J0EMH488</t>
  </si>
  <si>
    <t>Tommy Hilfiger Double-Faced Plaid Camp Shirt Delmonte Double Cloth- Mandari XS</t>
  </si>
  <si>
    <t>190607225880</t>
  </si>
  <si>
    <t>60% COTTON/40% MODAL</t>
  </si>
  <si>
    <t>RSD160C</t>
  </si>
  <si>
    <t>Splendid Juniors Tie-Dyed Pull-On Pant Multi L</t>
  </si>
  <si>
    <t>193666546859</t>
  </si>
  <si>
    <t>Tommy Hilfiger Plus Size Mixed Media V-Neck T Tea Rose 2X</t>
  </si>
  <si>
    <t>190607200740</t>
  </si>
  <si>
    <t>Tommy Hilfiger Womens Capri Jogger Pants Fuchsia Piank L</t>
  </si>
  <si>
    <t>195105680650</t>
  </si>
  <si>
    <t>TP09093P</t>
  </si>
  <si>
    <t>Tommy Hilfiger High-Rise Ribbed-Inset Legging Deep Blue S</t>
  </si>
  <si>
    <t>195105704752</t>
  </si>
  <si>
    <t>Tommy Hilfiger Womens Capri Jogger Pants Fuchsia Piank S</t>
  </si>
  <si>
    <t>195105680674</t>
  </si>
  <si>
    <t>Tommy Hilfiger Womens Capri Jogger Pants Fuchsia Piank XS</t>
  </si>
  <si>
    <t>195105680681</t>
  </si>
  <si>
    <t>W9EH0950</t>
  </si>
  <si>
    <t>Tommy Hilfiger Plus Size Boatneck Ruffle Hem Bright White 3X</t>
  </si>
  <si>
    <t>192114344184</t>
  </si>
  <si>
    <t>Tommy Hilfiger Womens Ombre Logo Tank Dress White Stone Heather S</t>
  </si>
  <si>
    <t>190607154135</t>
  </si>
  <si>
    <t>Tommy Hilfiger Womens Striped Colorblocked D Scarlet XS</t>
  </si>
  <si>
    <t>195105779385</t>
  </si>
  <si>
    <t>TP1X0011</t>
  </si>
  <si>
    <t>Tommy Hilfiger Plus Size Logo Cowlneck Sweats Electric Magenta 3X</t>
  </si>
  <si>
    <t>195105597002</t>
  </si>
  <si>
    <t>TP07816P</t>
  </si>
  <si>
    <t>Tommy Hilfiger Tommy Hilfiger Sport Womens S White Stone Heather S</t>
  </si>
  <si>
    <t>195105825402</t>
  </si>
  <si>
    <t>Tommy Hilfiger Womens Ombre Logo Sweatshirt Fuchsia Piank XL</t>
  </si>
  <si>
    <t>195105680391</t>
  </si>
  <si>
    <t>M7489586157</t>
  </si>
  <si>
    <t>Champion Double Dry Bike Shorts Cranberry Red XS</t>
  </si>
  <si>
    <t>194164658822</t>
  </si>
  <si>
    <t>CeCe Off-the-Shoulder Peplum-Hem To Rich Black L</t>
  </si>
  <si>
    <t>195203881621</t>
  </si>
  <si>
    <t>92% COTTON/2% SPANDEX</t>
  </si>
  <si>
    <t>CeCe Eyelet-Trim Flutter-Sleeve Top Soft Ecru L</t>
  </si>
  <si>
    <t>193768624417</t>
  </si>
  <si>
    <t>CeCe Off-the-Shoulder Peplum-Hem To Blossom XS</t>
  </si>
  <si>
    <t>195203881928</t>
  </si>
  <si>
    <t>M6032P</t>
  </si>
  <si>
    <t>Champion Womens Printed Cropped Leggin Organic Floral Black XS</t>
  </si>
  <si>
    <t>77478975116</t>
  </si>
  <si>
    <t>UG1TLB44</t>
  </si>
  <si>
    <t>DKNY Ruched 34-Sleeve Top Regatta Blue Multi M</t>
  </si>
  <si>
    <t>782212754697</t>
  </si>
  <si>
    <t>DKNY Ruched 34-Sleeve Top Regatta Blue Multi S</t>
  </si>
  <si>
    <t>782212754703</t>
  </si>
  <si>
    <t>TSMS1WT278</t>
  </si>
  <si>
    <t>Tahari ASL Printed Smocked Blouse Multi Combo XSmall</t>
  </si>
  <si>
    <t>663309976676</t>
  </si>
  <si>
    <t>UH1TLA94</t>
  </si>
  <si>
    <t>DKNY Abstract-Print Side-Ruched Top Charcoal Multi XXL</t>
  </si>
  <si>
    <t>782212747453</t>
  </si>
  <si>
    <t>Vince Camuto Vince Camuto Plus Size Ruffle Passion Fruit 1X</t>
  </si>
  <si>
    <t>195203757407</t>
  </si>
  <si>
    <t>M1AHL802</t>
  </si>
  <si>
    <t>Calvin Klein Metallic Sheath Top Silver XL</t>
  </si>
  <si>
    <t>195046391387</t>
  </si>
  <si>
    <t>M1HH7832</t>
  </si>
  <si>
    <t>Calvin Klein V-Neck Sheer Sleeve Blouse Klein Blue XL</t>
  </si>
  <si>
    <t>195841688316</t>
  </si>
  <si>
    <t>ELEVEN PARIS Future Celebrity T-Shirt Whitelimoges Blue XS</t>
  </si>
  <si>
    <t>829468915530</t>
  </si>
  <si>
    <t>W0DMD488</t>
  </si>
  <si>
    <t>Tommy Hilfiger Plus Size Alexander Striped Ca BlueWhite 2X</t>
  </si>
  <si>
    <t>190607284320</t>
  </si>
  <si>
    <t>Kasper Tie-Neck Top Lily White XS</t>
  </si>
  <si>
    <t>93488753308</t>
  </si>
  <si>
    <t>W0GHH024</t>
  </si>
  <si>
    <t>Tommy Hilfiger Plus Size Daisy Woven-Hem T-Sh Pearl Heather Combo 1X</t>
  </si>
  <si>
    <t>195105985038</t>
  </si>
  <si>
    <t>CeCe Printed Flutter-Sleeve Top Rich Black XS</t>
  </si>
  <si>
    <t>195203491868</t>
  </si>
  <si>
    <t>Kasper Plus Size Printed Twist-Neck T Willow Combo 3X</t>
  </si>
  <si>
    <t>93488759164</t>
  </si>
  <si>
    <t>CeCe Printed Puff-Sleeve Top Rich Black XS</t>
  </si>
  <si>
    <t>195203594422</t>
  </si>
  <si>
    <t>Tommy Jeans Logo Hoodie Sweatshirt Black M</t>
  </si>
  <si>
    <t>195105786017</t>
  </si>
  <si>
    <t>T0EHHAEC</t>
  </si>
  <si>
    <t>Tommy Jeans Cotton Tie-Dyed Top Pink Multi M</t>
  </si>
  <si>
    <t>190607206841</t>
  </si>
  <si>
    <t>Tommy Jeans Cotton Tie-Dyed Top Pink Multi XS</t>
  </si>
  <si>
    <t>190607206865</t>
  </si>
  <si>
    <t>P0RD1B2J</t>
  </si>
  <si>
    <t>DKNY Logo-Graphic T-Shirt Dress White XS</t>
  </si>
  <si>
    <t>794278960950</t>
  </si>
  <si>
    <t>190607984640</t>
  </si>
  <si>
    <t>Tommy Hilfiger Colorblocked Zip-Up Hoodie True Blue Heather XS</t>
  </si>
  <si>
    <t>192114012090</t>
  </si>
  <si>
    <t>Tommy Hilfiger Tommy Hilfiger Sport Womens F Rich Red L</t>
  </si>
  <si>
    <t>192114232993</t>
  </si>
  <si>
    <t>Tommy Hilfiger Colorblocked Zip-Up Hoodie True Blue Heather XL</t>
  </si>
  <si>
    <t>192114012052</t>
  </si>
  <si>
    <t>W1GR21R2UK0</t>
  </si>
  <si>
    <t>GUESS GUESS Ribbed Short-Sleeve Swea Cream Rose XS</t>
  </si>
  <si>
    <t>195124123619</t>
  </si>
  <si>
    <t>GUESS Amina Linen Corset Top Bleached Tropical Print XS</t>
  </si>
  <si>
    <t>195124293886</t>
  </si>
  <si>
    <t>W0GP69R9QU1</t>
  </si>
  <si>
    <t>GUESS Cory Ruched Crop Top Bleached Blue L</t>
  </si>
  <si>
    <t>195124280183</t>
  </si>
  <si>
    <t>J0FH0903</t>
  </si>
  <si>
    <t>Tommy Hilfiger Ruffled Halter Top Sky Captain M</t>
  </si>
  <si>
    <t>190607222674</t>
  </si>
  <si>
    <t>W0EMH488</t>
  </si>
  <si>
    <t>Tommy Hilfiger Plus Size Double Cloth Camp Sh French Blue Multi 3X</t>
  </si>
  <si>
    <t>190607221516</t>
  </si>
  <si>
    <t>J0JD0392</t>
  </si>
  <si>
    <t>Tommy Hilfiger Tommy Hilfiger Colorblocked Ho Sky Captain Multi M</t>
  </si>
  <si>
    <t>195105869710</t>
  </si>
  <si>
    <t>Tommy Hilfiger Logo Hoodie Dress Stone Heather Grey XS</t>
  </si>
  <si>
    <t>195105702406</t>
  </si>
  <si>
    <t>W1AM3530</t>
  </si>
  <si>
    <t>Tommy Hilfiger Plus Size Gingham Button-Down Dorchester Ditsy Gingham-brida 1X</t>
  </si>
  <si>
    <t>195105764077</t>
  </si>
  <si>
    <t>Tommy Hilfiger Womens Cropped Ombre Logo Hoo White Stone Heather XL</t>
  </si>
  <si>
    <t>195105680742</t>
  </si>
  <si>
    <t>Tommy Hilfiger Womens Cropped Ombre Logo Hoo White Stone Heather XS</t>
  </si>
  <si>
    <t>195105680780</t>
  </si>
  <si>
    <t>Tommy Hilfiger Womens Cropped Ombre Logo Hoo White Stone Heather S</t>
  </si>
  <si>
    <t>195105680773</t>
  </si>
  <si>
    <t>Tommy Hilfiger Womens Cropped Ombre Logo Hoo White Stone Heather M</t>
  </si>
  <si>
    <t>195105680766</t>
  </si>
  <si>
    <t>TP07901X</t>
  </si>
  <si>
    <t>Tommy Hilfiger Plus Size Star Graphic Capri P Blue 3X</t>
  </si>
  <si>
    <t>190607169054</t>
  </si>
  <si>
    <t>TP18361X</t>
  </si>
  <si>
    <t>Tommy Hilfiger Plus Size Hooded T-Shirt Dress Navy 3X</t>
  </si>
  <si>
    <t>195105677537</t>
  </si>
  <si>
    <t>TP18334X</t>
  </si>
  <si>
    <t>Tommy Hilfiger Plus Size Colorblocked Logo Sn Scarlet 0X</t>
  </si>
  <si>
    <t>195105725108</t>
  </si>
  <si>
    <t>Tommy Hilfiger Plus Size Double Cloth Camp Sh French Blue Multi 2X</t>
  </si>
  <si>
    <t>190607221523</t>
  </si>
  <si>
    <t>Tommy Hilfiger Plus Size Double Cloth Camp Sh French Blue Multi 1X</t>
  </si>
  <si>
    <t>190607221530</t>
  </si>
  <si>
    <t>L1GH7007</t>
  </si>
  <si>
    <t>Karl Lagerfeld Paris Puff-Sleeve Sweatshirt White M</t>
  </si>
  <si>
    <t>194775570889</t>
  </si>
  <si>
    <t>1.STATE Wrap Midi Skirt Soft Ecru S</t>
  </si>
  <si>
    <t>195203670584</t>
  </si>
  <si>
    <t>81114603C3</t>
  </si>
  <si>
    <t>1.STATE Tiered Midi Skirt Twilight Navy XS</t>
  </si>
  <si>
    <t>195203603308</t>
  </si>
  <si>
    <t>CeCe Ruffled Tie-Cuff Blouse Hot Lava XS</t>
  </si>
  <si>
    <t>193768616467</t>
  </si>
  <si>
    <t>75% COTTON/25% NYLON</t>
  </si>
  <si>
    <t>CeCe Striped Bow-Neck Sweater Rich Black S</t>
  </si>
  <si>
    <t>195203428680</t>
  </si>
  <si>
    <t>81114401A4</t>
  </si>
  <si>
    <t>1.STATE Pull-On Jogging Pants Med Htr Grey S</t>
  </si>
  <si>
    <t>195203530840</t>
  </si>
  <si>
    <t>1.STATE Tiered Midi Skirt Twilight Navy XXS</t>
  </si>
  <si>
    <t>195203603292</t>
  </si>
  <si>
    <t>81115378A2</t>
  </si>
  <si>
    <t>1.STATE 1.STATE Womens Smocked Puff-S Cosmic Sky XL</t>
  </si>
  <si>
    <t>195203644387</t>
  </si>
  <si>
    <t>1.STATE Pull-On Jogging Pants Med Htr Grey M</t>
  </si>
  <si>
    <t>195203530857</t>
  </si>
  <si>
    <t>DKNY Tie-Front Ankle Pants Black 16</t>
  </si>
  <si>
    <t>795731891927</t>
  </si>
  <si>
    <t>POLYESTER/RAYON/SPANDEX</t>
  </si>
  <si>
    <t>CLE3036O</t>
  </si>
  <si>
    <t>Calvin Klein Plus Size Straight-Leg Pants Navy 24W</t>
  </si>
  <si>
    <t>192351882586</t>
  </si>
  <si>
    <t>Seven7 Shortalls Warm Sand XL</t>
  </si>
  <si>
    <t>194278195381</t>
  </si>
  <si>
    <t>POLYESTER/ELASTENE; LINING: POLYESTER</t>
  </si>
  <si>
    <t>Kasper Crepe Knee-Length Skirt Black 12</t>
  </si>
  <si>
    <t>8875824387</t>
  </si>
  <si>
    <t>Kasper Crepe Column Midi Skirt Black 10</t>
  </si>
  <si>
    <t>782417025790</t>
  </si>
  <si>
    <t>12857WM</t>
  </si>
  <si>
    <t>Morgan Company Trendy Plus Size Off-The-Shoul Black 14W</t>
  </si>
  <si>
    <t>707762350038</t>
  </si>
  <si>
    <t>Bar III Plus Size Printed Tie-Neck Top Ibiza Blue Combo 3X</t>
  </si>
  <si>
    <t>93488970521</t>
  </si>
  <si>
    <t>M0MA8614</t>
  </si>
  <si>
    <t>Calvin Klein Textured Roll-Tab Blouse Cerise XL</t>
  </si>
  <si>
    <t>195046089093</t>
  </si>
  <si>
    <t>M1DA0540</t>
  </si>
  <si>
    <t>Calvin Klein Solid Padded-Shoulder Button-D Black S</t>
  </si>
  <si>
    <t>195046077984</t>
  </si>
  <si>
    <t>M9VKX255</t>
  </si>
  <si>
    <t>Calvin Klein Ponte Pants Black 12</t>
  </si>
  <si>
    <t>194414884407</t>
  </si>
  <si>
    <t>M0FHH893</t>
  </si>
  <si>
    <t>Calvin Klein Drawstring-Neck Top Black S</t>
  </si>
  <si>
    <t>194414215737</t>
  </si>
  <si>
    <t>Calvin Klein Solid Padded-Shoulder Button-D Black XL</t>
  </si>
  <si>
    <t>195046077953</t>
  </si>
  <si>
    <t>Kasper Pencil Skirt Lily White 8</t>
  </si>
  <si>
    <t>93488101949</t>
  </si>
  <si>
    <t>Kasper Plus Size Pencil Skirt Charcoal 16W</t>
  </si>
  <si>
    <t>93487635209</t>
  </si>
  <si>
    <t>Kasper Petite Pencil Skirt Lily White 6P</t>
  </si>
  <si>
    <t>93488102014</t>
  </si>
  <si>
    <t>Kasper Petite Pencil Skirt Lily White 8P</t>
  </si>
  <si>
    <t>93488102021</t>
  </si>
  <si>
    <t>P1FAVJGY</t>
  </si>
  <si>
    <t>DKNY Striped Peplum-Hem Top Rose Quartz Herb Combo XXS</t>
  </si>
  <si>
    <t>794278574980</t>
  </si>
  <si>
    <t>DKNY Striped Peplum-Hem Top Herb Spring Indigo Multi M</t>
  </si>
  <si>
    <t>794278575017</t>
  </si>
  <si>
    <t>P0DWEEXY</t>
  </si>
  <si>
    <t>DKNY Tweed Shorts Caribbivy 16</t>
  </si>
  <si>
    <t>795730512229</t>
  </si>
  <si>
    <t>SHELL AND LINING: 100% POLYESTER</t>
  </si>
  <si>
    <t>P1HANK93</t>
  </si>
  <si>
    <t>DKNY Printed Faux-Wrap Top Black Whiskey Sour Multi S</t>
  </si>
  <si>
    <t>794278012888</t>
  </si>
  <si>
    <t>H07PP542</t>
  </si>
  <si>
    <t>Tommy Hilfiger Flare-Leg Pants Navy 16</t>
  </si>
  <si>
    <t>195105906958</t>
  </si>
  <si>
    <t>SELF &amp; LINING: 100% POLYESTER</t>
  </si>
  <si>
    <t>1.STATE Smocked-Neck Flutter-Sleeve Dr Coral Haze XL</t>
  </si>
  <si>
    <t>195203540023</t>
  </si>
  <si>
    <t>1.STATE Smocked-Neck Flutter-Sleeve Dr Floral Twilight XL</t>
  </si>
  <si>
    <t>195203601304</t>
  </si>
  <si>
    <t>1.STATE 1.STATE Smocked Square-Neck Bl Black Ditsy Refresh L</t>
  </si>
  <si>
    <t>195203533285</t>
  </si>
  <si>
    <t>SHELL &amp; LINING: 100% POLYESTER</t>
  </si>
  <si>
    <t>CeCe Clip-Dot Off-The-Shoulder Blou Rich Black L</t>
  </si>
  <si>
    <t>193768702085</t>
  </si>
  <si>
    <t>CeCe Tie-Front Pull-On Paperbag Sho Rich Black 4</t>
  </si>
  <si>
    <t>193768510468</t>
  </si>
  <si>
    <t>BAM108</t>
  </si>
  <si>
    <t>BAM by Betsy Adam Crewneck Sweater with Built-In Magenta S</t>
  </si>
  <si>
    <t>195170019867</t>
  </si>
  <si>
    <t>T18SR140</t>
  </si>
  <si>
    <t>Calvin Klein Petite Plaid Pencil Skirt Charcoal Multi 8P</t>
  </si>
  <si>
    <t>195841696151</t>
  </si>
  <si>
    <t>Calvin Klein Petite Plaid Pencil Skirt Charcoal Multi 6P</t>
  </si>
  <si>
    <t>195841696168</t>
  </si>
  <si>
    <t>Calvin Klein Petite Plaid Pencil Skirt Charcoal Multi 2P</t>
  </si>
  <si>
    <t>195841696182</t>
  </si>
  <si>
    <t>Kasper Petite V-Neck Sheath Dress Black 2P</t>
  </si>
  <si>
    <t>716357382361</t>
  </si>
  <si>
    <t>Kasper Plus Size Pencil Skirt Black 20W</t>
  </si>
  <si>
    <t>8875824585</t>
  </si>
  <si>
    <t>TP14967X</t>
  </si>
  <si>
    <t>Tommy Hilfiger Plus Size Zip-Up Logo Hoodie BlackWhite Stone Heather 3X</t>
  </si>
  <si>
    <t>195105596883</t>
  </si>
  <si>
    <t>Tommy Hilfiger Plus Size Zip-Up Logo Hoodie BlackWhite Stone Heather 2X</t>
  </si>
  <si>
    <t>195105596890</t>
  </si>
  <si>
    <t>W0CMP178</t>
  </si>
  <si>
    <t>Tommy Hilfiger Plus Size Paisley-Print Pintuc Pink 3X</t>
  </si>
  <si>
    <t>190607310302</t>
  </si>
  <si>
    <t>J0CMH086</t>
  </si>
  <si>
    <t>Tommy Hilfiger Tommy Hilfiger Tie-Neck Cotton Multi Sand Dune Eyelet- Dahlia XS</t>
  </si>
  <si>
    <t>190607302550</t>
  </si>
  <si>
    <t>GUESS Charli Bermuda Sweat-Shorts Vapor Rose M</t>
  </si>
  <si>
    <t>195124308078</t>
  </si>
  <si>
    <t>GUESS Aricela Striped Button-Front T Couples Stripe Print Green S</t>
  </si>
  <si>
    <t>195124298430</t>
  </si>
  <si>
    <t>Kasper Crew-Neck Sheath Dress Black 12</t>
  </si>
  <si>
    <t>716357726714</t>
  </si>
  <si>
    <t>Riley Rae Drapey Gauze Tiered Dress Coral Reef 31 US 12</t>
  </si>
  <si>
    <t>195203797472</t>
  </si>
  <si>
    <t>ELEVEN PARIS Tie-Dye Cotton Drawstring Shor Limoges Blue Tie Dye M</t>
  </si>
  <si>
    <t>829468930786</t>
  </si>
  <si>
    <t>DKNY Jeans Juniors Acid Wash Hoodie Washed Teal L</t>
  </si>
  <si>
    <t>795728942779</t>
  </si>
  <si>
    <t>DKNY Jeans Juniors Acid Wash Hoodie Washed Teal M</t>
  </si>
  <si>
    <t>795728942786</t>
  </si>
  <si>
    <t>DKNY Jeans Juniors Acid Wash Hoodie Washed Teal S</t>
  </si>
  <si>
    <t>795728942793</t>
  </si>
  <si>
    <t>CeCe Ruffled V-Neck Blouse Rich Black S</t>
  </si>
  <si>
    <t>193768398837</t>
  </si>
  <si>
    <t>Bar III Plus Size Tie Neck Long Sleeve Ibiza Blue 3X</t>
  </si>
  <si>
    <t>93488895565</t>
  </si>
  <si>
    <t>Bar III Plus Size Printed Puff-Shoulde RosewoodBar White 3X</t>
  </si>
  <si>
    <t>93488766766</t>
  </si>
  <si>
    <t>Bar III Plus Size Tie Neck Long Sleeve Ibiza Blue 1X</t>
  </si>
  <si>
    <t>93488895541</t>
  </si>
  <si>
    <t>BAM by Betsy Adam Hoodie with Built-In Mask, Cre Sand XL</t>
  </si>
  <si>
    <t>195170019041</t>
  </si>
  <si>
    <t>BAM by Betsy Adam Hoodie with Built-In Mask, Cre Black XS</t>
  </si>
  <si>
    <t>195170018907</t>
  </si>
  <si>
    <t>Calvin Klein Long Sleeve Button Front Knit Black XL</t>
  </si>
  <si>
    <t>195841685063</t>
  </si>
  <si>
    <t>Calvin Klein Metallic Trim Long Sleeve Sati Dawn L</t>
  </si>
  <si>
    <t>195841684370</t>
  </si>
  <si>
    <t>Calvin Klein Metallic Trim Long Sleeve Sati Smoke XL</t>
  </si>
  <si>
    <t>195841360267</t>
  </si>
  <si>
    <t>Calvin Klein Long Sleeve Button Front Knit Black L</t>
  </si>
  <si>
    <t>195841685070</t>
  </si>
  <si>
    <t>S1FTJ-U4186M</t>
  </si>
  <si>
    <t>Eileen Fisher Scoop-Neckline Slim Shell Top Deep Terra Cotta M</t>
  </si>
  <si>
    <t>193481596473</t>
  </si>
  <si>
    <t>Kasper Tiered Gauze Pull-On Skirt White M</t>
  </si>
  <si>
    <t>93488748793</t>
  </si>
  <si>
    <t>P0CK2617</t>
  </si>
  <si>
    <t>DKNY DKNY Buttoned Wide-Leg Pants White 31</t>
  </si>
  <si>
    <t>795730677775</t>
  </si>
  <si>
    <t>P1GD0KOW</t>
  </si>
  <si>
    <t>DKNY DKNY T-Shirt Maxi Dress Black M</t>
  </si>
  <si>
    <t>794278000205</t>
  </si>
  <si>
    <t>P0DK9COK</t>
  </si>
  <si>
    <t>DKNY Cropped Wide-Leg Pants Tropical 12</t>
  </si>
  <si>
    <t>795730524192</t>
  </si>
  <si>
    <t>P13KIJGT</t>
  </si>
  <si>
    <t>DKNY DKNY Pull-On Tapered Joggers Caper XL</t>
  </si>
  <si>
    <t>794278021088</t>
  </si>
  <si>
    <t>Anne Klein Plus Size Bowie Straight-Fit P MONDRIAN YELLOW 18W</t>
  </si>
  <si>
    <t>93488372745</t>
  </si>
  <si>
    <t>CeCe Flutter-Sleeve Serene Flora Dr Floral Print S</t>
  </si>
  <si>
    <t>195203507750</t>
  </si>
  <si>
    <t>CeCe Flutter-Sleeve Serene Flora Dr Floral Print XS</t>
  </si>
  <si>
    <t>195203507743</t>
  </si>
  <si>
    <t>Kasper Petite Stretch Crepe Slim-Leg Wedgewood Blue 14P</t>
  </si>
  <si>
    <t>93488300243</t>
  </si>
  <si>
    <t>Kasper Petite Open-Front Cardigan Mariner Blue PM</t>
  </si>
  <si>
    <t>93488293477</t>
  </si>
  <si>
    <t>H17PP226</t>
  </si>
  <si>
    <t>Tommy Hilfiger Straight-Leg Ankle Pants Midnight 2</t>
  </si>
  <si>
    <t>195105507919</t>
  </si>
  <si>
    <t>Jones New York Womens Open Front Cardigan Sw Amparo Blue Small</t>
  </si>
  <si>
    <t>91307228402</t>
  </si>
  <si>
    <t>Calvin Klein Petite Tweed Pencil Skirt Lt Beige 2P</t>
  </si>
  <si>
    <t>192351471162</t>
  </si>
  <si>
    <t>T18PL884</t>
  </si>
  <si>
    <t>Calvin Klein Petite Slim-Leg Pants Klein Blue 12P</t>
  </si>
  <si>
    <t>195841410665</t>
  </si>
  <si>
    <t>X18SR140</t>
  </si>
  <si>
    <t>Calvin Klein Plus Size Plaid Pencil Skirt Charcoal Multi 24W</t>
  </si>
  <si>
    <t>195841694775</t>
  </si>
  <si>
    <t>Kasper Plus Size Crepe Sheath Dress Vanilla 18W</t>
  </si>
  <si>
    <t>8875879264</t>
  </si>
  <si>
    <t>Tommy Hilfiger Plus Size Embroidered Smocked Sky Captain 1X</t>
  </si>
  <si>
    <t>190607283811</t>
  </si>
  <si>
    <t>Tommy Hilfiger Plus Size Embroidered Smocked Sky Captain 3X</t>
  </si>
  <si>
    <t>190607283798</t>
  </si>
  <si>
    <t>CeCe Smocked Pintuck Blouse Rich Black M</t>
  </si>
  <si>
    <t>193768453291</t>
  </si>
  <si>
    <t>W1TKG249</t>
  </si>
  <si>
    <t>Calvin Klein Plus Size Cotton Twill Pants White 24W</t>
  </si>
  <si>
    <t>195046242887</t>
  </si>
  <si>
    <t>W1CAV652</t>
  </si>
  <si>
    <t>Calvin Klein Plus Size Square-Neck Puff-Sle Soft White 3X</t>
  </si>
  <si>
    <t>195046301997</t>
  </si>
  <si>
    <t>LRL BSR/POLO RALPH LAUREN</t>
  </si>
  <si>
    <t>LAUREN RL MIS</t>
  </si>
  <si>
    <t>Lauren Ralph Lauren Slim-Fit Turtleneck Mascarpone Cream L</t>
  </si>
  <si>
    <t>789022711636</t>
  </si>
  <si>
    <t>SHELL, TRIM AND LINING: POLYESTER</t>
  </si>
  <si>
    <t>DONNA RICCO/ZG APPAREL GROUP LLC</t>
  </si>
  <si>
    <t>2 AV/MD/RG</t>
  </si>
  <si>
    <t>DR50527</t>
  </si>
  <si>
    <t>Donna Ricco Sleeveless Lace Dress Navy Ivory 2</t>
  </si>
  <si>
    <t>889648522507</t>
  </si>
  <si>
    <t>GUESS Larison Gingham-Print Ruffled Light Matcha Multi XS</t>
  </si>
  <si>
    <t>195124165367</t>
  </si>
  <si>
    <t>GUESS Iris Cuffed Cargo Shorts Remarkable Blue Multi 25</t>
  </si>
  <si>
    <t>195124297617</t>
  </si>
  <si>
    <t>W1BQ11K9DT1</t>
  </si>
  <si>
    <t>GUESS G-Charm Logo Track Jacket Joshua Tree XL</t>
  </si>
  <si>
    <t>195124376107</t>
  </si>
  <si>
    <t>W1GD0AZ2U00</t>
  </si>
  <si>
    <t>GUESS Ada Ribbed Sweater Pencil Skir Green Abyss M</t>
  </si>
  <si>
    <t>7624302666899</t>
  </si>
  <si>
    <t>GUESS Belted Bustier Shorts Optic White 29</t>
  </si>
  <si>
    <t>193327678639</t>
  </si>
  <si>
    <t>Bar III Plus Size Straight-Leg Pants Morello Cherry 16W</t>
  </si>
  <si>
    <t>93488998006</t>
  </si>
  <si>
    <t>Bar III Plus Size Straight-Leg Pants Morello Cherry 18W</t>
  </si>
  <si>
    <t>93488998013</t>
  </si>
  <si>
    <t>INC International Concepts Floral-Print Halter-Style Midi Camellia Combo 14</t>
  </si>
  <si>
    <t>93488667520</t>
  </si>
  <si>
    <t>Calvin Klein Plaid Sweater Heather Granite Multi M</t>
  </si>
  <si>
    <t>195841684837</t>
  </si>
  <si>
    <t>P1AKII07</t>
  </si>
  <si>
    <t>DKNY Utility Cargo Pants Pebble L</t>
  </si>
  <si>
    <t>794278934760</t>
  </si>
  <si>
    <t>P1HSAGA3</t>
  </si>
  <si>
    <t>DKNY Fringed Turtleneck Sweater Luggage S</t>
  </si>
  <si>
    <t>794278009673</t>
  </si>
  <si>
    <t>Anne Klein Plus Size Jogger Pants Burnt Siena 3X</t>
  </si>
  <si>
    <t>93488820239</t>
  </si>
  <si>
    <t>LT/PAS ORG</t>
  </si>
  <si>
    <t>8415BD7PD1</t>
  </si>
  <si>
    <t>City Studios Trendy Plus Size Off-The-Shoul Black 20W</t>
  </si>
  <si>
    <t>708008551424</t>
  </si>
  <si>
    <t>City Studios Trendy Plus Size Off-The-Shoul Black 18W</t>
  </si>
  <si>
    <t>708008551417</t>
  </si>
  <si>
    <t>195841410603</t>
  </si>
  <si>
    <t>Calvin Klein Plus Size Slim-Leg Pants Klein Blue 16W</t>
  </si>
  <si>
    <t>195841410634</t>
  </si>
  <si>
    <t>Calvin Klein Plus Size Slim-Leg Pants Klein Blue 20W</t>
  </si>
  <si>
    <t>195046287000</t>
  </si>
  <si>
    <t>Calvin Klein Plus Size Slim-Leg Pants Klein Blue 18W</t>
  </si>
  <si>
    <t>195841410627</t>
  </si>
  <si>
    <t>Kasper Plus Size Wide-Leg Pants Black 3X</t>
  </si>
  <si>
    <t>93488662822</t>
  </si>
  <si>
    <t>Kasper Petite Wide-Lapel Flyaway Jack Butter 12P</t>
  </si>
  <si>
    <t>93487193839</t>
  </si>
  <si>
    <t>W0FD0505</t>
  </si>
  <si>
    <t>Tommy Hilfiger Plus Size Lace-Up Sleeveless D Sky Captain 3X</t>
  </si>
  <si>
    <t>190607200856</t>
  </si>
  <si>
    <t>CeCe 3D Polka Dot Sweater Light Heather Grey S</t>
  </si>
  <si>
    <t>193768177692</t>
  </si>
  <si>
    <t>BAM by Betsy Adam Cropped Zip-Up Hoodie With Rem Black Cloud L</t>
  </si>
  <si>
    <t>195170020887</t>
  </si>
  <si>
    <t>Anne Klein Plus Size Pull-On Cropped Tenc LIGHT WASH 3X</t>
  </si>
  <si>
    <t>93488804543</t>
  </si>
  <si>
    <t>Anne Klein Plus Size Pull-On Cropped Tenc LIGHT WASH 0X</t>
  </si>
  <si>
    <t>93488804512</t>
  </si>
  <si>
    <t>Anne Klein Wrap Dress Blue Horizon M</t>
  </si>
  <si>
    <t>93488820789</t>
  </si>
  <si>
    <t>MGTBCP8200</t>
  </si>
  <si>
    <t>NYDJ Denim Tummy-Control Bermuda Sh Equinox Wash 4</t>
  </si>
  <si>
    <t>194477231156</t>
  </si>
  <si>
    <t>ELEVEN PARIS Ombre Maxi Dress Orchid Hush XS</t>
  </si>
  <si>
    <t>829468918661</t>
  </si>
  <si>
    <t>VC0M9939</t>
  </si>
  <si>
    <t>Vince Camuto Tie-Sleeve Chiffon Dress Coral 10</t>
  </si>
  <si>
    <t>689886088175</t>
  </si>
  <si>
    <t>W1BQ12K9DT1</t>
  </si>
  <si>
    <t>GUESS Juniors G-Charm Logo Sweatpant Joshua Tree XS</t>
  </si>
  <si>
    <t>195124398130</t>
  </si>
  <si>
    <t>Riley Rae Stanford Ribbed Mock-Neck Top Rich Black M</t>
  </si>
  <si>
    <t>195203156316</t>
  </si>
  <si>
    <t>Anne Klein Gwen Printed A-Line Dress Collegiate Red Combo L</t>
  </si>
  <si>
    <t>93488787440</t>
  </si>
  <si>
    <t>OPEN FRONT</t>
  </si>
  <si>
    <t>782418865043</t>
  </si>
  <si>
    <t>UB1PD401</t>
  </si>
  <si>
    <t>DKNY Essex Ankle Pants Jadestonelinen White 16</t>
  </si>
  <si>
    <t>794278897867</t>
  </si>
  <si>
    <t>X16PL834</t>
  </si>
  <si>
    <t>Calvin Klein Plus Size Belted Ankle-Length Luggage 14W</t>
  </si>
  <si>
    <t>193623037338</t>
  </si>
  <si>
    <t>Riley Rae Gigi Smocked Midi Dress Ultra White 8</t>
  </si>
  <si>
    <t>195203526485</t>
  </si>
  <si>
    <t>16 P</t>
  </si>
  <si>
    <t>TSPA9WP091</t>
  </si>
  <si>
    <t>Tahari ASL Petite Shannon Slim Ankle Pant Black 16P</t>
  </si>
  <si>
    <t>635273646695</t>
  </si>
  <si>
    <t>GUESS GUESS Cutout-Back Sleeveless S Light Rum Multi S</t>
  </si>
  <si>
    <t>195124168146</t>
  </si>
  <si>
    <t>RAYON/NYLON/SPANDEX</t>
  </si>
  <si>
    <t>W8FK2TR2BF1</t>
  </si>
  <si>
    <t>GUESS Allison Cutout Sweater Dress HONEYDEW GREEN MULTI M</t>
  </si>
  <si>
    <t>195124088659</t>
  </si>
  <si>
    <t>W1YK25RE0Q0</t>
  </si>
  <si>
    <t>GUESS Ulysse Striped A-Line Dress Cream White Multi S</t>
  </si>
  <si>
    <t>195124303448</t>
  </si>
  <si>
    <t>GUESS Allison Cutout Sweater Dress Dove White S</t>
  </si>
  <si>
    <t>195124088734</t>
  </si>
  <si>
    <t>GUESS Engineered Ribbed Midi Dress Jet Black M</t>
  </si>
  <si>
    <t>193327543852</t>
  </si>
  <si>
    <t>W1YB25RE1C0</t>
  </si>
  <si>
    <t>GUESS Zuma Drawstring Cargo Pants Natural M</t>
  </si>
  <si>
    <t>195124296566</t>
  </si>
  <si>
    <t>W1GK42RD461</t>
  </si>
  <si>
    <t>GUESS Yonna Draped Dress Asphalt Grey XS</t>
  </si>
  <si>
    <t>195124168702</t>
  </si>
  <si>
    <t>Bar III Plus Size Sleeveless Wide-Leg Blue Shadow 3X</t>
  </si>
  <si>
    <t>93488796961</t>
  </si>
  <si>
    <t>Bar III Plus Size One Button Blazer Ibiza Blue 3X</t>
  </si>
  <si>
    <t>93488895206</t>
  </si>
  <si>
    <t>L1FD7420</t>
  </si>
  <si>
    <t>Karl Lagerfeld Paris Sleeveless Patch Dress Black 16</t>
  </si>
  <si>
    <t>194775665288</t>
  </si>
  <si>
    <t>JJ38048</t>
  </si>
  <si>
    <t>julia jordan Zip-Front Fringe-Hem Jumpsuit Navy Blue 16</t>
  </si>
  <si>
    <t>889648523924</t>
  </si>
  <si>
    <t>SELF &amp; LINING: 95% RAYON/5% SPANDEX</t>
  </si>
  <si>
    <t>MADE IN USA</t>
  </si>
  <si>
    <t>CW2006</t>
  </si>
  <si>
    <t>LNA Ribbed Top White M</t>
  </si>
  <si>
    <t>841619173897</t>
  </si>
  <si>
    <t>M1HKO224</t>
  </si>
  <si>
    <t>Calvin Klein Faux Leather Tie-Waist Pants Tin M</t>
  </si>
  <si>
    <t>195841348234</t>
  </si>
  <si>
    <t>POLYESTER/NYLON/ELASTANE; LINING: POLYESTER</t>
  </si>
  <si>
    <t>Kasper Plus Size Pencil Skirt Black 16W</t>
  </si>
  <si>
    <t>716357747535</t>
  </si>
  <si>
    <t>VC0M3404</t>
  </si>
  <si>
    <t>Vince Camuto Bow-Neck Halter Dress Cobalt 14</t>
  </si>
  <si>
    <t>689886244946</t>
  </si>
  <si>
    <t>Kasper Shawl-Collar Open-Front Blazer Ivory 12</t>
  </si>
  <si>
    <t>93487798737</t>
  </si>
  <si>
    <t>W1YK00R2BF4</t>
  </si>
  <si>
    <t>GUESS Alessia Polo Collar Wrap Dress Fade To Jade Multi L</t>
  </si>
  <si>
    <t>195124301956</t>
  </si>
  <si>
    <t>W1YA94D2G6O</t>
  </si>
  <si>
    <t>GUESS Ultimate Skinny Jeans Mad About You Green 26</t>
  </si>
  <si>
    <t>7620207149543</t>
  </si>
  <si>
    <t>GUESS Ultimate Skinny Jeans Mad About You Pink 26</t>
  </si>
  <si>
    <t>7620207149659</t>
  </si>
  <si>
    <t>GUESS Braided-Waist Skinny Jeans Dark And Stormy 25</t>
  </si>
  <si>
    <t>195124294487</t>
  </si>
  <si>
    <t>NYLON/POLYESTER/SPANDEX; TRIM: POLYESTER; LINING: POLYESTER</t>
  </si>
  <si>
    <t>3622GF1QD1</t>
  </si>
  <si>
    <t>City Studios Trendy Plus Size Embellished I Pink 16W</t>
  </si>
  <si>
    <t>708008550335</t>
  </si>
  <si>
    <t>GS5232005</t>
  </si>
  <si>
    <t>JEN7 Denim Bermuda Shorts With Roll Haven 6</t>
  </si>
  <si>
    <t>190392778561</t>
  </si>
  <si>
    <t>JJMS1KT646</t>
  </si>
  <si>
    <t>b new york Half-Placket Top Black L</t>
  </si>
  <si>
    <t>663309951017</t>
  </si>
  <si>
    <t>Anne Klein Anne Klein Dot-Print Midi Dres Anne BlackAnne White XXS</t>
  </si>
  <si>
    <t>93488019626</t>
  </si>
  <si>
    <t>Anne Klein Anne Klein Dot-Print Midi Dres Anne BlackAnne White M</t>
  </si>
  <si>
    <t>93488019572</t>
  </si>
  <si>
    <t>T1BK2IIH</t>
  </si>
  <si>
    <t>Tommy Jeans White Logo Skinny Denim Overal Soft Rinse White 27</t>
  </si>
  <si>
    <t>195105761519</t>
  </si>
  <si>
    <t>Bar III Plus Size Open-Front Blazer Blue Shadow 1X</t>
  </si>
  <si>
    <t>93488763475</t>
  </si>
  <si>
    <t>GUESS Tristian Belted Dress Face M Cream White 2</t>
  </si>
  <si>
    <t>195124303554</t>
  </si>
  <si>
    <t>W1YA63D4EO1</t>
  </si>
  <si>
    <t>GUESS Painted Pop 70s Flare Jeans Ready 2 Go 29</t>
  </si>
  <si>
    <t>7620207277956</t>
  </si>
  <si>
    <t>GUESS Girly Cropped Cotton Jeans In The Storm 25</t>
  </si>
  <si>
    <t>7620207145088</t>
  </si>
  <si>
    <t>W1GK0SKAS20</t>
  </si>
  <si>
    <t>GUESS Christin Printed Wrap Midi Dre 4G Aqua S</t>
  </si>
  <si>
    <t>7620207190910</t>
  </si>
  <si>
    <t>Calvin Klein Petite Plaid Blazer Charcoal Multi 12P</t>
  </si>
  <si>
    <t>195841696410</t>
  </si>
  <si>
    <t>10 P</t>
  </si>
  <si>
    <t>Calvin Klein Petite Plaid Blazer Charcoal Multi 10P</t>
  </si>
  <si>
    <t>195841696427</t>
  </si>
  <si>
    <t>COTTON/LYOCELL/ELASTOMULTIESTER/ELASTANE</t>
  </si>
  <si>
    <t>MBDMSS2336</t>
  </si>
  <si>
    <t>NYDJ Sheri Straight-Leg Jeans Black 12</t>
  </si>
  <si>
    <t>889982762577</t>
  </si>
  <si>
    <t>VC1M2779</t>
  </si>
  <si>
    <t>Vince Camuto Printed 34-Sleeve Shift Dress Pink Multi 8</t>
  </si>
  <si>
    <t>194592896971</t>
  </si>
  <si>
    <t>Kasper Plus Size Faux-Double-Breasted Lily White 24W</t>
  </si>
  <si>
    <t>93488085294</t>
  </si>
  <si>
    <t>Kasper Plus Size Snap-Front Roll-Tab Lily White 2X</t>
  </si>
  <si>
    <t>93488301509</t>
  </si>
  <si>
    <t>W0YK91WCUO0</t>
  </si>
  <si>
    <t>GUESS Leena Belted Floral-Print Dres Retro Roses Pink Combo L</t>
  </si>
  <si>
    <t>7618584951095</t>
  </si>
  <si>
    <t>HARPER ROSE Sleeveless Roll-Neck Midi Dres Navy 12</t>
  </si>
  <si>
    <t>194592876829</t>
  </si>
  <si>
    <t>Tommy Hilfiger 1-Button Long Blazer Midnight Multi 2</t>
  </si>
  <si>
    <t>195105505632</t>
  </si>
  <si>
    <t>S1OLA-U4173M</t>
  </si>
  <si>
    <t>Eileen Fisher Organic Linen Tank Top White L</t>
  </si>
  <si>
    <t>193481762991</t>
  </si>
  <si>
    <t>GUESS Short-Sleeve Heidi Dress Sweetest Rose Print Blue XS</t>
  </si>
  <si>
    <t>195124303394</t>
  </si>
  <si>
    <t>GUESS Ariane V-neck Loose-Knit Sweat Apricot Juice Multi S</t>
  </si>
  <si>
    <t>7620207851569</t>
  </si>
  <si>
    <t>From Grayscale Shimmer Cropped Vest Rose Gold XL</t>
  </si>
  <si>
    <t>850029373407</t>
  </si>
  <si>
    <t>JEN7 Sculpting Boyfriend Jeans Bayview 10</t>
  </si>
  <si>
    <t>190392929574</t>
  </si>
  <si>
    <t>7G027353</t>
  </si>
  <si>
    <t>JEN7 Snake Print Straight Leg Pants Ombre Snake 18</t>
  </si>
  <si>
    <t>190392937692</t>
  </si>
  <si>
    <t>75% MODAL/25% RECYCLED POLYESTER</t>
  </si>
  <si>
    <t>MADE IN HONG KONG</t>
  </si>
  <si>
    <t>JJMS1KT657</t>
  </si>
  <si>
    <t>b new york Sheath Dress Black XL</t>
  </si>
  <si>
    <t>663309951390</t>
  </si>
  <si>
    <t>W1YK55RE0P0</t>
  </si>
  <si>
    <t>GUESS Rose-Print Maxi Dress Sweetest Rose Print Pink 2</t>
  </si>
  <si>
    <t>195124304261</t>
  </si>
  <si>
    <t>71QGR</t>
  </si>
  <si>
    <t>French Connection Fayloa Floral-Print One-Should Fiery Red Multi 2</t>
  </si>
  <si>
    <t>192942816754</t>
  </si>
  <si>
    <t>62% COTTON/38% MODAL</t>
  </si>
  <si>
    <t>RM1K800</t>
  </si>
  <si>
    <t>Splendid Printed Dropped-Shoulder Sweat Multi XS</t>
  </si>
  <si>
    <t>193666591354</t>
  </si>
  <si>
    <t>LDR0408MI12</t>
  </si>
  <si>
    <t>Barbour Newbury Dress Multi 6</t>
  </si>
  <si>
    <t>194972201043</t>
  </si>
  <si>
    <t>8145JB6PD1</t>
  </si>
  <si>
    <t>City Studios Trendy Plus Size Rhinestone Em Sangria 16W</t>
  </si>
  <si>
    <t>708008618219</t>
  </si>
  <si>
    <t>City Studios Trendy Plus Size Rhinestone Em Sangria 20W</t>
  </si>
  <si>
    <t>708008618233</t>
  </si>
  <si>
    <t>7 For All Mankind The Monroe Cotton Cut-Off Shor Clean White Rigid 27</t>
  </si>
  <si>
    <t>190392925149</t>
  </si>
  <si>
    <t>S1YCD-T5709P</t>
  </si>
  <si>
    <t>Eileen Fisher Mandarin-Collar Shirt Black PM</t>
  </si>
  <si>
    <t>193481734424</t>
  </si>
  <si>
    <t>Nicole Miller Thai Jungle Cotton French Terr Beige S</t>
  </si>
  <si>
    <t>794566324365</t>
  </si>
  <si>
    <t>LDR0420BL33</t>
  </si>
  <si>
    <t>Barbour Seaglow Button-Down Chambray D Chambray 8</t>
  </si>
  <si>
    <t>194972309992</t>
  </si>
  <si>
    <t>7U014005</t>
  </si>
  <si>
    <t>7 For All Mankind The Ankle Skinny Jeans Grace Blue 24</t>
  </si>
  <si>
    <t>190392921998</t>
  </si>
  <si>
    <t>Eileen Fisher Eileen Fisher Slim Cropped Pan Casis PS</t>
  </si>
  <si>
    <t>193481725262</t>
  </si>
  <si>
    <t>COTTON/LYOCELL/POLYESTER/RAYON/SPANDEX</t>
  </si>
  <si>
    <t>AU0231913A</t>
  </si>
  <si>
    <t>7 For All Mankind Kimmie Jeans Blue Black River Thames 25</t>
  </si>
  <si>
    <t>886992911070</t>
  </si>
  <si>
    <t>LDR0399IN52</t>
  </si>
  <si>
    <t>Barbour Tynemouth Cotton Shirtdress Authentic Wash 6</t>
  </si>
  <si>
    <t>194972200459</t>
  </si>
  <si>
    <t>LDR0417GN73</t>
  </si>
  <si>
    <t>Barbour Victoria Cotton Utility Dress Sage 6</t>
  </si>
  <si>
    <t>194972201609</t>
  </si>
  <si>
    <t>VISCOSE/SPANDEX</t>
  </si>
  <si>
    <t>MADE IN USA OF IMPORTED MATERIALS</t>
  </si>
  <si>
    <t>F0HTH-P1515M</t>
  </si>
  <si>
    <t>Eileen Fisher Skirted Leggings Charcoal XS</t>
  </si>
  <si>
    <t>193481287708</t>
  </si>
  <si>
    <t>Nicole Miller Womens Cotton Tie-Dye-Print C Beige P</t>
  </si>
  <si>
    <t>794566328790</t>
  </si>
  <si>
    <t>1911-3006</t>
  </si>
  <si>
    <t>Citizens of Humanity Marlee Cotton Ripped Jeans Breezeway 27</t>
  </si>
  <si>
    <t>193693172328</t>
  </si>
  <si>
    <t>AU8823120C</t>
  </si>
  <si>
    <t>7 For All Mankind Half-Coated Skinny Ankle Jeans Blue Nova 26</t>
  </si>
  <si>
    <t>190392859017</t>
  </si>
  <si>
    <t>S1LOL-D4995P</t>
  </si>
  <si>
    <t>Eileen Fisher Petite Scoop-Neck Tiered Dress Marigold PM</t>
  </si>
  <si>
    <t>193481723428</t>
  </si>
  <si>
    <t>R0GGR-C1983M</t>
  </si>
  <si>
    <t>Eileen Fisher Eileen Fisher Hooded Drawstrin Black XL</t>
  </si>
  <si>
    <t>193481528139</t>
  </si>
  <si>
    <t>Tommy Jeans Logo-Tape Bike Shorts Scarlet L</t>
  </si>
  <si>
    <t>195105789032</t>
  </si>
  <si>
    <t>DRAFT - 34 SLV WTWIST HW Soft White XL</t>
  </si>
  <si>
    <t>194414220526</t>
  </si>
  <si>
    <t>DRAFT - 34 SLV WTWIST HW Soft White M</t>
  </si>
  <si>
    <t>194414220540</t>
  </si>
  <si>
    <t>DRAFT - 34 SLV WTWIST HW Soft White XS</t>
  </si>
  <si>
    <t>194414220564</t>
  </si>
  <si>
    <t>H15TK84C</t>
  </si>
  <si>
    <t>PLYR WOMENS BLOU</t>
  </si>
  <si>
    <t>195105649947</t>
  </si>
  <si>
    <t>195105649930</t>
  </si>
  <si>
    <t>J0XS0583</t>
  </si>
  <si>
    <t>Tommy Hilfiger Cotton Button-Trim Turtleneck Scarlet L</t>
  </si>
  <si>
    <t>190607117659</t>
  </si>
  <si>
    <t>SOFT VOLUMINOUS LACE SLV</t>
  </si>
  <si>
    <t>195203904634</t>
  </si>
  <si>
    <t>P1HSA08U</t>
  </si>
  <si>
    <t>TWOFER SWEATER</t>
  </si>
  <si>
    <t>782212662244</t>
  </si>
  <si>
    <t>Le Suit Two-Button Skirt Suit GreyWhite 14</t>
  </si>
  <si>
    <t>93488341406</t>
  </si>
  <si>
    <t>RS1K860</t>
  </si>
  <si>
    <t>CAMP ZIP HOODIE</t>
  </si>
  <si>
    <t>193666469363</t>
  </si>
  <si>
    <t>193666469356</t>
  </si>
  <si>
    <t>193666469349</t>
  </si>
  <si>
    <t>Champion Womens Get Happy Logo T-Shirt Yellow L</t>
  </si>
  <si>
    <t>194959260636</t>
  </si>
  <si>
    <t>MGKT1032A</t>
  </si>
  <si>
    <t>Madden Girl Juniors Dream Baby T-Shirt Rose Tan XL</t>
  </si>
  <si>
    <t>193290741644</t>
  </si>
  <si>
    <t>Champion Cotton Pull-On Shorts Fantastic Fuchsia L</t>
  </si>
  <si>
    <t>77478960471</t>
  </si>
  <si>
    <t>Champion Womens Cotton Get Happy Short Pink XS</t>
  </si>
  <si>
    <t>194959321467</t>
  </si>
  <si>
    <t>Champion Womens Cotton Get Happy Short Black S</t>
  </si>
  <si>
    <t>194959321290</t>
  </si>
  <si>
    <t>12UXJF332</t>
  </si>
  <si>
    <t>Junk Food Cotton California T-Shirt White L</t>
  </si>
  <si>
    <t>195883031712</t>
  </si>
  <si>
    <t>Riley Rae Harper Animal-Print Turtleneck Rich black S</t>
  </si>
  <si>
    <t>194288282347</t>
  </si>
  <si>
    <t>Riley Rae Harper Animal-Print Turtleneck Rich black XS</t>
  </si>
  <si>
    <t>194288282330</t>
  </si>
  <si>
    <t>Tommy Hilfiger Short-Sleeve V-Neck Tee Indigo Heather XS</t>
  </si>
  <si>
    <t>192114640309</t>
  </si>
  <si>
    <t>W0RH0610</t>
  </si>
  <si>
    <t>Tommy Hilfiger Plus Size Cotton 34-Sleeves T White 2X</t>
  </si>
  <si>
    <t>195105959855</t>
  </si>
  <si>
    <t>T0FH0ADH</t>
  </si>
  <si>
    <t>Tommy Jeans Ribbed V-Neck T-Shirt Heron S</t>
  </si>
  <si>
    <t>190607205066</t>
  </si>
  <si>
    <t>Champion Logo Cropped T-Shirt Candid Blue XL</t>
  </si>
  <si>
    <t>77478917369</t>
  </si>
  <si>
    <t>Champion Womens Cropped Graphic-Print White S</t>
  </si>
  <si>
    <t>77478966473</t>
  </si>
  <si>
    <t>MGAT1006A</t>
  </si>
  <si>
    <t>Madden Girl Madden Girl Juniors Tie Dye S Burnt Olive L</t>
  </si>
  <si>
    <t>193290740531</t>
  </si>
  <si>
    <t>Gloria Vanderbilt Gloria Vanderbilt Womens Mid Rockford 14</t>
  </si>
  <si>
    <t>8867613432</t>
  </si>
  <si>
    <t>Tommy Jeans Cotton Linear Logo T-Shirt Sky Captain XL</t>
  </si>
  <si>
    <t>195105710388</t>
  </si>
  <si>
    <t>PFRX1511</t>
  </si>
  <si>
    <t>Calvin Klein Plus Size Logo Top BlackSilver Foil 2X</t>
  </si>
  <si>
    <t>195046425846</t>
  </si>
  <si>
    <t>Splendid Charli Tie-Dyed Sweatshirt Black S</t>
  </si>
  <si>
    <t>193666270778</t>
  </si>
  <si>
    <t>Splendid Charli Tie-Dyed Sweatshirt Black XL</t>
  </si>
  <si>
    <t>193666270785</t>
  </si>
  <si>
    <t>TP03955T</t>
  </si>
  <si>
    <t>Tommy Hilfiger Logo Knot-Front T-Shirt Scuba Blue L</t>
  </si>
  <si>
    <t>195105782941</t>
  </si>
  <si>
    <t>TP93449T</t>
  </si>
  <si>
    <t>Tommy Hilfiger Logo-Print T-Shirt Scarlet M</t>
  </si>
  <si>
    <t>192114022761</t>
  </si>
  <si>
    <t>Tommy Hilfiger Logo Knot-Front T-Shirt True Blue Heather L</t>
  </si>
  <si>
    <t>195105730195</t>
  </si>
  <si>
    <t>TP08768S</t>
  </si>
  <si>
    <t>Tommy Hilfiger Womens Biker Shorts Navy S</t>
  </si>
  <si>
    <t>195105681190</t>
  </si>
  <si>
    <t>Tommy Hilfiger Womens Tie-Dyed Tank Top Marine Blue Combo XL</t>
  </si>
  <si>
    <t>195105680193</t>
  </si>
  <si>
    <t>TP03985T</t>
  </si>
  <si>
    <t>Tommy Hilfiger Off-The-Shoulder T-Shirt Deep Blue White S</t>
  </si>
  <si>
    <t>190607180042</t>
  </si>
  <si>
    <t>Tommy Hilfiger Relaxed Shorts Deep Blue S</t>
  </si>
  <si>
    <t>190607428243</t>
  </si>
  <si>
    <t>Champion Womens Racerback Logo Tank To Deep Forte Blue M</t>
  </si>
  <si>
    <t>77478969368</t>
  </si>
  <si>
    <t>Champion Womens Racerback Logo Tank To Deep Forte Blue S</t>
  </si>
  <si>
    <t>77478969351</t>
  </si>
  <si>
    <t>Champion Semi-Sheer Racerback Tank Top Sweet Green XL</t>
  </si>
  <si>
    <t>77478992182</t>
  </si>
  <si>
    <t>Champion Womens Racerback Logo Tank To Deep Forte Blue XXL</t>
  </si>
  <si>
    <t>77478969399</t>
  </si>
  <si>
    <t>Champion Womens Racerback Logo Tank To Deep Forte Blue XS</t>
  </si>
  <si>
    <t>77478969344</t>
  </si>
  <si>
    <t>Gloria Vanderbilt Gloria Vanderbilt Pleated Shor Bondi 6</t>
  </si>
  <si>
    <t>8868794178</t>
  </si>
  <si>
    <t>Gloria Vanderbilt Gloria Vanderbilt Pleated Shor Bondi 12</t>
  </si>
  <si>
    <t>8868794109</t>
  </si>
  <si>
    <t>Champion Authentic Logo-Print Cutout Ra Layered Scripts Hush Pink XL</t>
  </si>
  <si>
    <t>194164609497</t>
  </si>
  <si>
    <t>81114336C3</t>
  </si>
  <si>
    <t>1.STATE Peplum Tank Twilight Navy S</t>
  </si>
  <si>
    <t>195203675251</t>
  </si>
  <si>
    <t>RSD0601</t>
  </si>
  <si>
    <t>Splendid Playa Tie-Dyed Jogger Pants Black S</t>
  </si>
  <si>
    <t>193666560435</t>
  </si>
  <si>
    <t>Gloria Vanderbilt Gloria Vanderbilt Generation H Parkes 8</t>
  </si>
  <si>
    <t>8868348067</t>
  </si>
  <si>
    <t>Tommy Hilfiger Plus Size Floral-Print Crewnec White 1X</t>
  </si>
  <si>
    <t>190607309849</t>
  </si>
  <si>
    <t>W0CHN808</t>
  </si>
  <si>
    <t>Tommy Hilfiger Plus Size Floral-Print Striped White 0X</t>
  </si>
  <si>
    <t>190607309771</t>
  </si>
  <si>
    <t>TSMS0KT068</t>
  </si>
  <si>
    <t>Tahari ASL Hardware-Detail Sleeveless Top Navy S</t>
  </si>
  <si>
    <t>635273797267</t>
  </si>
  <si>
    <t>O1YA10JR06J</t>
  </si>
  <si>
    <t>GUESS Alexandrea Flyaway-Back Tank T Fluo Fuchsia XL</t>
  </si>
  <si>
    <t>7618483941753</t>
  </si>
  <si>
    <t>W1YI77R1310</t>
  </si>
  <si>
    <t>GUESS Beach Logo Cotton T-Shirt Pure White XL</t>
  </si>
  <si>
    <t>195124301796</t>
  </si>
  <si>
    <t>W7439586160</t>
  </si>
  <si>
    <t>Champion Campus Mock Neck Top Hush Pink S</t>
  </si>
  <si>
    <t>194164659072</t>
  </si>
  <si>
    <t>W7441586178</t>
  </si>
  <si>
    <t>Champion Campus Logo Long-Sleeve Shirt Lilac Wash S</t>
  </si>
  <si>
    <t>194164668494</t>
  </si>
  <si>
    <t>P02BNCNA</t>
  </si>
  <si>
    <t>DKNY DKNY Sequin Logo Graphic T-Shi Whitemetallic Silverblack M</t>
  </si>
  <si>
    <t>795730520583</t>
  </si>
  <si>
    <t>P1HPVDNA</t>
  </si>
  <si>
    <t>DKNY Stacked Tiger Logo T-Shirt Blackwhiskey Sour XS</t>
  </si>
  <si>
    <t>782212818924</t>
  </si>
  <si>
    <t>PF0X3823</t>
  </si>
  <si>
    <t>Calvin Klein Plus Size Performance Graphic- White Silver 2X</t>
  </si>
  <si>
    <t>195046950645</t>
  </si>
  <si>
    <t>X18TM31J</t>
  </si>
  <si>
    <t>Calvin Klein Plus Size Printed Sleeveless T Klein Blue Multi 3X</t>
  </si>
  <si>
    <t>195841694683</t>
  </si>
  <si>
    <t>J0EMR532</t>
  </si>
  <si>
    <t>Tommy Hilfiger Cotton Polka-Dot Sleeveless Sh Dianah Dot- Sky Captainbright M</t>
  </si>
  <si>
    <t>190607233397</t>
  </si>
  <si>
    <t>Tommy Hilfiger Logo Mini Skirt Black XL</t>
  </si>
  <si>
    <t>190607441754</t>
  </si>
  <si>
    <t>J9SDR085</t>
  </si>
  <si>
    <t>Tommy Hilfiger Pin-Dot Polo-Shirt Dress Sky Captainivory L</t>
  </si>
  <si>
    <t>192114551841</t>
  </si>
  <si>
    <t>Riley Rae Tropical-Print Smocked Top Ruby Blush XL</t>
  </si>
  <si>
    <t>195203796567</t>
  </si>
  <si>
    <t>Riley Rae Striped Tie-Neck Top Stripe XS</t>
  </si>
  <si>
    <t>195203795546</t>
  </si>
  <si>
    <t>TP03887X</t>
  </si>
  <si>
    <t>Tommy Hilfiger Plus Size Waffle-Knit Half-Zip Fuchsia Pink 1X</t>
  </si>
  <si>
    <t>190607387939</t>
  </si>
  <si>
    <t>Anne Klein Denim and Sport Womens Marleigh Short Sleeve Marleigh Stripes Aster and NYC Large</t>
  </si>
  <si>
    <t>29023273079</t>
  </si>
  <si>
    <t>Anne Klein Denim and Sport Womens Lucile Button Down Shi Cosmos Medium</t>
  </si>
  <si>
    <t>29023524553</t>
  </si>
  <si>
    <t>Calvin Klein Plus Size Tie-Dye Logo T-Shirt Kensington Lime Zest 1X</t>
  </si>
  <si>
    <t>195046162925</t>
  </si>
  <si>
    <t>Calvin Klein Plus Size Tie-Dye Logo T-Shirt Kensington Nu Beige 2X</t>
  </si>
  <si>
    <t>195046162857</t>
  </si>
  <si>
    <t>Riley Rae Puff-Sleeve Tie-Front Top Soft Ecru XS</t>
  </si>
  <si>
    <t>195203795263</t>
  </si>
  <si>
    <t>Riley Rae Pull-On Rib-Knit Flare Pants Gray M</t>
  </si>
  <si>
    <t>194288282897</t>
  </si>
  <si>
    <t>Anne Klein Tie-Neck Top Poppy S</t>
  </si>
  <si>
    <t>93488170402</t>
  </si>
  <si>
    <t>TP00140X</t>
  </si>
  <si>
    <t>Tommy Hilfiger Plus Size Waffle Rib Hoodie T- White Stone Heather 2X</t>
  </si>
  <si>
    <t>195105977880</t>
  </si>
  <si>
    <t>J7021TP</t>
  </si>
  <si>
    <t>Dickies Seamed Pleated Skirt Black 15</t>
  </si>
  <si>
    <t>792831400097</t>
  </si>
  <si>
    <t>Splendid Solana Thermal Ribbed-Edge Top Navy XL</t>
  </si>
  <si>
    <t>193666532487</t>
  </si>
  <si>
    <t>W1YP01K8RT2</t>
  </si>
  <si>
    <t>GUESS Rose Mock Neck Cap Sleeve Top Cream White S</t>
  </si>
  <si>
    <t>7620207287399</t>
  </si>
  <si>
    <t>GUESS Lace-Up Leggings BLUSHING PINK XS</t>
  </si>
  <si>
    <t>7618483938869</t>
  </si>
  <si>
    <t>GUESS Short-Sleeve Seamless Top Light Matcha Melange ML</t>
  </si>
  <si>
    <t>7620207520564</t>
  </si>
  <si>
    <t>Tommy Hilfiger Tommy Hilfiger Sport Womens L True Blue Heather XXL</t>
  </si>
  <si>
    <t>192114009052</t>
  </si>
  <si>
    <t>Jones New York Womens Printed Hudson Jersey Amparo Blue Combo Small</t>
  </si>
  <si>
    <t>91307255460</t>
  </si>
  <si>
    <t>Tommy Hilfiger Chambray Pull-On Shorts Ballerina Pink S</t>
  </si>
  <si>
    <t>190607352197</t>
  </si>
  <si>
    <t>TP16383P</t>
  </si>
  <si>
    <t>Tommy Hilfiger Tommy Hilfiger Sport Side Pane Black S</t>
  </si>
  <si>
    <t>195105827154</t>
  </si>
  <si>
    <t>TP16372P</t>
  </si>
  <si>
    <t>Tommy Hilfiger OmbreLeggings Tropical PeachDeep Blue Combo M</t>
  </si>
  <si>
    <t>195105694701</t>
  </si>
  <si>
    <t>MICRO MODAL®/SUPIMA® COTTON</t>
  </si>
  <si>
    <t>RS9K470</t>
  </si>
  <si>
    <t>Splendid Abbie T-Shirt Black S</t>
  </si>
  <si>
    <t>888113975121</t>
  </si>
  <si>
    <t>Tommy Hilfiger Plus Size Mixed Media V-Neck T Tea Rose 0X</t>
  </si>
  <si>
    <t>190607200726</t>
  </si>
  <si>
    <t>TP16355P</t>
  </si>
  <si>
    <t>Tommy Hilfiger Logo Graphic Full-Length Leggi Black L</t>
  </si>
  <si>
    <t>195105829486</t>
  </si>
  <si>
    <t>Tahari ASL Paisley-Print Tie-Neck Blouse Ivory Oyster Pailsey S</t>
  </si>
  <si>
    <t>663309998159</t>
  </si>
  <si>
    <t>Splendid Abbie T-Shirt Black XS</t>
  </si>
  <si>
    <t>888113975145</t>
  </si>
  <si>
    <t>Splendid Abbie T-Shirt Black M</t>
  </si>
  <si>
    <t>888113975114</t>
  </si>
  <si>
    <t>Splendid Abbie T-Shirt Black L</t>
  </si>
  <si>
    <t>888113975107</t>
  </si>
  <si>
    <t>TP07978X</t>
  </si>
  <si>
    <t>Tommy Hilfiger Plus Size Colorblocked Side-St Electric Magenta 2X</t>
  </si>
  <si>
    <t>195105596920</t>
  </si>
  <si>
    <t>Tommy Hilfiger Plus Size Boatneck Ruffle Hem Bright White 1X</t>
  </si>
  <si>
    <t>192114344207</t>
  </si>
  <si>
    <t>Tommy Hilfiger Womens Star-Print Cropped Leg Deep Blue M</t>
  </si>
  <si>
    <t>195105681558</t>
  </si>
  <si>
    <t>TP07901P</t>
  </si>
  <si>
    <t>Tommy Hilfiger Womens Star-Print Cropped Jog White L</t>
  </si>
  <si>
    <t>190607158331</t>
  </si>
  <si>
    <t>Tommy Hilfiger Womens Striped Colorblocked D Black XS</t>
  </si>
  <si>
    <t>195105779200</t>
  </si>
  <si>
    <t>POLYESTER/COTTON</t>
  </si>
  <si>
    <t>13</t>
  </si>
  <si>
    <t>Dickies Juniors Frayed-Hem Cropped Pa White 13</t>
  </si>
  <si>
    <t>792831138655</t>
  </si>
  <si>
    <t>1.STATE 1.STATE Cropped Knit Cut-Out T Soft Ecru Large</t>
  </si>
  <si>
    <t>194288232328</t>
  </si>
  <si>
    <t>81115411H4</t>
  </si>
  <si>
    <t>1.STATE Eyelet Ruffle-Hem Shorts Ultra White 00</t>
  </si>
  <si>
    <t>195203608600</t>
  </si>
  <si>
    <t>Champion Womens Printed Cropped Leggin Organic Floral Black S</t>
  </si>
  <si>
    <t>77478975123</t>
  </si>
  <si>
    <t>Anne Klein Denim and Sport Womens Azariah Dress Cumulus Tie Dye Grenadine Comb Large</t>
  </si>
  <si>
    <t>29023302939</t>
  </si>
  <si>
    <t>Anne Klein Denim and Sport Womens Pull-On Denim Leggings Seabrook 14</t>
  </si>
  <si>
    <t>39513396652</t>
  </si>
  <si>
    <t>Riley Rae Tiered Cap-Sleeve Dress Amber Sun XS</t>
  </si>
  <si>
    <t>195203686257</t>
  </si>
  <si>
    <t>M0PH8886</t>
  </si>
  <si>
    <t>Calvin Klein Calvin Klein Grommet-Shoulder Soft White M</t>
  </si>
  <si>
    <t>194414221103</t>
  </si>
  <si>
    <t>M1GH7087</t>
  </si>
  <si>
    <t>Calvin Klein Puff-Sleeve Top Blush L</t>
  </si>
  <si>
    <t>195841750501</t>
  </si>
  <si>
    <t>Riley Rae Patrice Pants Legacy Pink L</t>
  </si>
  <si>
    <t>195203525402</t>
  </si>
  <si>
    <t>Riley Rae Patrice Pants Rich Black S</t>
  </si>
  <si>
    <t>195203525105</t>
  </si>
  <si>
    <t>ELEVEN PARIS Tinder Kills Romantics T-Shirt Orchid Hush XS</t>
  </si>
  <si>
    <t>829468919415</t>
  </si>
  <si>
    <t>M4389</t>
  </si>
  <si>
    <t>Champion Phys Ed Jogger Leggings Athletic Navy M</t>
  </si>
  <si>
    <t>192503606084</t>
  </si>
  <si>
    <t>W0SW0236</t>
  </si>
  <si>
    <t>Tommy Hilfiger Tommy Hilfiger Plus Size Holly Scarlet 14W</t>
  </si>
  <si>
    <t>190607355723</t>
  </si>
  <si>
    <t>Kasper Textured Top Silver M</t>
  </si>
  <si>
    <t>93488661450</t>
  </si>
  <si>
    <t>Tommy Jeans Logo Hoodie Sweatshirt Black XL</t>
  </si>
  <si>
    <t>195105785997</t>
  </si>
  <si>
    <t>Tommy Jeans Logo Hoodie Sweatshirt Sky Captain XS</t>
  </si>
  <si>
    <t>195105798508</t>
  </si>
  <si>
    <t>P0EH7F6D</t>
  </si>
  <si>
    <t>DKNY Ruched V-Neck Top Ivory L</t>
  </si>
  <si>
    <t>795730492200</t>
  </si>
  <si>
    <t>P0DH7FIP</t>
  </si>
  <si>
    <t>DKNY Chiffon-Trim Sleeveless Top Black XXS</t>
  </si>
  <si>
    <t>795730533125</t>
  </si>
  <si>
    <t>PF1X3855</t>
  </si>
  <si>
    <t>Calvin Klein Plus Size Embellished Logo Hoo Black 1X</t>
  </si>
  <si>
    <t>195046162987</t>
  </si>
  <si>
    <t>Anne Klein Anne Klein Printed Tie-Waist T Anne BlackAnne White Dot S</t>
  </si>
  <si>
    <t>93487603024</t>
  </si>
  <si>
    <t>Anne Klein Lace-Up Tunic Top Anne Black S</t>
  </si>
  <si>
    <t>93487747698</t>
  </si>
  <si>
    <t>Tommy Hilfiger Colorblocked Zip-Up Hoodie Black XS</t>
  </si>
  <si>
    <t>192114233310</t>
  </si>
  <si>
    <t>Tommy Hilfiger Tommy Hilfiger Sport Womens F Pearl Grey Heather XL</t>
  </si>
  <si>
    <t>192114232924</t>
  </si>
  <si>
    <t>Tommy Hilfiger Cropped Drawstring Pants Sky Captain XS</t>
  </si>
  <si>
    <t>190607352685</t>
  </si>
  <si>
    <t>Tommy Hilfiger Cropped Drawstring Pants Khaki S</t>
  </si>
  <si>
    <t>190607352616</t>
  </si>
  <si>
    <t>TP04756J</t>
  </si>
  <si>
    <t>Tommy Hilfiger Womens Star-Print Hoodie Deep Blue XS</t>
  </si>
  <si>
    <t>190607159871</t>
  </si>
  <si>
    <t>TP14911J</t>
  </si>
  <si>
    <t>Tommy Hilfiger Waffle-Knit Hoodie Fuchsia Pink M</t>
  </si>
  <si>
    <t>195105780701</t>
  </si>
  <si>
    <t>Tommy Hilfiger Plus Size Double Cloth Camp Sh French Blue Multi 0X</t>
  </si>
  <si>
    <t>190607221509</t>
  </si>
  <si>
    <t>J0FMH114</t>
  </si>
  <si>
    <t>Tommy Hilfiger Embroidered Popover Top Embroidery Border Print- Ivory XS</t>
  </si>
  <si>
    <t>190607232154</t>
  </si>
  <si>
    <t>TP86716P</t>
  </si>
  <si>
    <t>Tommy Hilfiger Logo-Waistband Joggers Pearl Grey Heather M</t>
  </si>
  <si>
    <t>195105783078</t>
  </si>
  <si>
    <t>TP19080P</t>
  </si>
  <si>
    <t>Tommy Hilfiger Womens Logo-Trim Jogger Pants Pearl Grey M</t>
  </si>
  <si>
    <t>195105679562</t>
  </si>
  <si>
    <t>W0CD0476</t>
  </si>
  <si>
    <t>Tommy Hilfiger Plus Size Cornell-Trimmed Polo Navy 1X</t>
  </si>
  <si>
    <t>190607310043</t>
  </si>
  <si>
    <t>J0SK3035</t>
  </si>
  <si>
    <t>Tommy Hilfiger Gingham-Print Cuffed Pants Sky Captain Multi 2</t>
  </si>
  <si>
    <t>190607358700</t>
  </si>
  <si>
    <t>CeCe Ruffled V-Neck Tie Top Tropic Nig M</t>
  </si>
  <si>
    <t>195203628912</t>
  </si>
  <si>
    <t>CeCe Paperbag Shorts Rich Black 10</t>
  </si>
  <si>
    <t>195203804705</t>
  </si>
  <si>
    <t>W0VH7844</t>
  </si>
  <si>
    <t>Calvin Klein Plus Size Sheer-Sleeve Top Blush 1X</t>
  </si>
  <si>
    <t>195046622160</t>
  </si>
  <si>
    <t>M8742</t>
  </si>
  <si>
    <t>Champion Campus French Terry Joggers Oxford Gray XXL</t>
  </si>
  <si>
    <t>194164857492</t>
  </si>
  <si>
    <t>Riley Rae Smocked Bodice Dress Ultra White XS</t>
  </si>
  <si>
    <t>195203524467</t>
  </si>
  <si>
    <t>Morgan Company Trendy Plus Size Off-The-Shoul Cobalt 22W</t>
  </si>
  <si>
    <t>707762350137</t>
  </si>
  <si>
    <t>TSMU1WT225</t>
  </si>
  <si>
    <t>Tahari ASL Printed Top Pomegranate Ivory Flower M</t>
  </si>
  <si>
    <t>635273855233</t>
  </si>
  <si>
    <t>Calvin Klein Solid Padded-Shoulder Button-D White L</t>
  </si>
  <si>
    <t>195046077915</t>
  </si>
  <si>
    <t>ELEVEN PARIS Call My Stylist Ombre Top Nile Greenorchid Hush Dip Dye M</t>
  </si>
  <si>
    <t>829468934760</t>
  </si>
  <si>
    <t>ELEVEN PARIS Call My Stylist Ombre Top Nile Greenorchid Hush Dip Dye XS</t>
  </si>
  <si>
    <t>829468934746</t>
  </si>
  <si>
    <t>Kasper Petite V-Neck Lace-Sleeve Top Vanilla Ice PL</t>
  </si>
  <si>
    <t>93488762447</t>
  </si>
  <si>
    <t>Kasper Petite V-Neck Lace-Sleeve Top Vanilla Ice PXL</t>
  </si>
  <si>
    <t>93488762478</t>
  </si>
  <si>
    <t>Kasper Petite Pencil Skirt Lily White 16P</t>
  </si>
  <si>
    <t>93488101987</t>
  </si>
  <si>
    <t>CeCe V-Neck Printed Blouse Confettirbw XL</t>
  </si>
  <si>
    <t>195203963365</t>
  </si>
  <si>
    <t>98% POLYESTER/2% SPANDEX</t>
  </si>
  <si>
    <t>CeCe Pintucked Blouse Rich Black XS</t>
  </si>
  <si>
    <t>195203635217</t>
  </si>
  <si>
    <t>T18S4140</t>
  </si>
  <si>
    <t>Calvin Klein Petite Faux-Suede Pencil Skirt Navy 4P</t>
  </si>
  <si>
    <t>195841658944</t>
  </si>
  <si>
    <t>Calvin Klein Petite Faux-Suede Pencil Skirt Navy 12P</t>
  </si>
  <si>
    <t>195841658906</t>
  </si>
  <si>
    <t>Calvin Klein Petite Faux-Suede Pencil Skirt Navy 6P</t>
  </si>
  <si>
    <t>195841658937</t>
  </si>
  <si>
    <t>CeCe Asymmetric Cold-Shoulder Top Rich Black L</t>
  </si>
  <si>
    <t>195203930169</t>
  </si>
  <si>
    <t>CeCe Asymmetric Cold-Shoulder Top Rich Black S</t>
  </si>
  <si>
    <t>195203930145</t>
  </si>
  <si>
    <t>CeCe Tie-Front Pull-On Paperbag Sho Rich Black 8</t>
  </si>
  <si>
    <t>193768510482</t>
  </si>
  <si>
    <t>Kasper Plus Size Pencil Skirt Vanilla Ice 18W</t>
  </si>
  <si>
    <t>8875879417</t>
  </si>
  <si>
    <t>Kasper Tab-Waist Trouser Pants Indigo 6P</t>
  </si>
  <si>
    <t>716357770014</t>
  </si>
  <si>
    <t>Tommy Hilfiger Plus Size Zip-Up Logo Hoodie BlackWhite Stone Heather 1X</t>
  </si>
  <si>
    <t>195105614549</t>
  </si>
  <si>
    <t>Tommy Hilfiger Plus Size Zip-Up Logo Hoodie BlackWhite Stone Heather 0X</t>
  </si>
  <si>
    <t>195105596876</t>
  </si>
  <si>
    <t>J1CDN603</t>
  </si>
  <si>
    <t>Tommy Hilfiger Short-Sleeve Polo Midi Dress Bright White Multi XS</t>
  </si>
  <si>
    <t>195105749074</t>
  </si>
  <si>
    <t>Riley Rae Eyelet Puff-Sleeve Button-Fron Ultra White XS</t>
  </si>
  <si>
    <t>195203521411</t>
  </si>
  <si>
    <t>W1GD26R49T1</t>
  </si>
  <si>
    <t>GUESS Denim Mom Shorts Pastel Dream Multi 27</t>
  </si>
  <si>
    <t>195124340061</t>
  </si>
  <si>
    <t>W83D71R35U0</t>
  </si>
  <si>
    <t>GUESS Ripped Denim Skirt Pascale Wash L</t>
  </si>
  <si>
    <t>192541259273</t>
  </si>
  <si>
    <t>POLYESTER/VISCOSE/ELASTANE; LINING: ACETATE</t>
  </si>
  <si>
    <t>Anne Klein Flare-Leg Pants Black 14</t>
  </si>
  <si>
    <t>716357886968</t>
  </si>
  <si>
    <t>Kasper Straight-Leg Crepe Pants White 18</t>
  </si>
  <si>
    <t>782417965799</t>
  </si>
  <si>
    <t>DEMOCRACY/MY MICHELLE/KELLWOOD CO</t>
  </si>
  <si>
    <t>B1578Q8X2R</t>
  </si>
  <si>
    <t>Democracy Democracy Womens Mid-Rise AB Mdbl Midni 8</t>
  </si>
  <si>
    <t>194849291320</t>
  </si>
  <si>
    <t>City Studios Plus Size Glittering Fit-and-F Brt.blue 14W</t>
  </si>
  <si>
    <t>708008696774</t>
  </si>
  <si>
    <t>TSMS1KT044</t>
  </si>
  <si>
    <t>Tahari ASL Printed Twist-Front Top Green Multi M</t>
  </si>
  <si>
    <t>663309970605</t>
  </si>
  <si>
    <t>2502M</t>
  </si>
  <si>
    <t>Taylor Peasant Dress Kelly Green 10</t>
  </si>
  <si>
    <t>194686187732</t>
  </si>
  <si>
    <t>Calvin Klein Long Sleeve Button Front Knit Dawn L</t>
  </si>
  <si>
    <t>195841684974</t>
  </si>
  <si>
    <t>Calvin Klein Long Sleeve Button Front Knit Heather Granite XS</t>
  </si>
  <si>
    <t>195841685056</t>
  </si>
  <si>
    <t>Calvin Klein Long Sleeve Button Front Knit Black M</t>
  </si>
  <si>
    <t>195841685087</t>
  </si>
  <si>
    <t>M1GQV753</t>
  </si>
  <si>
    <t>Calvin Klein Sweater Jogger Pants Black M</t>
  </si>
  <si>
    <t>195841748553</t>
  </si>
  <si>
    <t>Calvin Klein Tech Stretch Belted Ankle Pant Black XL</t>
  </si>
  <si>
    <t>195046074150</t>
  </si>
  <si>
    <t>DKNY DKNY Pull-On Tapered Joggers Caper M</t>
  </si>
  <si>
    <t>794278021101</t>
  </si>
  <si>
    <t>Anne Klein Plus Size Printed Poet Blouse Siren BlueRed Pear 2X</t>
  </si>
  <si>
    <t>93488330004</t>
  </si>
  <si>
    <t>H18P5803</t>
  </si>
  <si>
    <t>Tommy Hilfiger Flex Fit Slim Leg Ankle Pants Thyme 0</t>
  </si>
  <si>
    <t>195105499139</t>
  </si>
  <si>
    <t>Tommy Hilfiger Straight-Leg Ankle Pants Midnight 0</t>
  </si>
  <si>
    <t>195105507926</t>
  </si>
  <si>
    <t>J2056HY</t>
  </si>
  <si>
    <t>Dickies Cotton Cuffed Shortalls Light Stone Wash S</t>
  </si>
  <si>
    <t>792831305774</t>
  </si>
  <si>
    <t>T17PL841</t>
  </si>
  <si>
    <t>Calvin Klein Petite Highline Ankle Pants Cocoa 2P</t>
  </si>
  <si>
    <t>195841512543</t>
  </si>
  <si>
    <t>Kasper Plus Size Crepe Sheath Dress Vanilla 14W</t>
  </si>
  <si>
    <t>8875879240</t>
  </si>
  <si>
    <t>Kasper Stretch Crepe Sheath Dress Tutu Pink 2P</t>
  </si>
  <si>
    <t>93488058854</t>
  </si>
  <si>
    <t>Kasper Plus Size Carly Trouser Pants Black 16W</t>
  </si>
  <si>
    <t>716357725472</t>
  </si>
  <si>
    <t>CeCe Cotton Chiffon-Sleeve Mixed-Me Antique White XL</t>
  </si>
  <si>
    <t>194288292827</t>
  </si>
  <si>
    <t>J0BBP421</t>
  </si>
  <si>
    <t>Tommy Hilfiger Cotton Check Shirtdress Bluff Buffalo- Orange Multi 14</t>
  </si>
  <si>
    <t>190607431922</t>
  </si>
  <si>
    <t>67% COTTON/31% ELASTOMULTIESTER/2% ELASTANE</t>
  </si>
  <si>
    <t>MGTBSH2906</t>
  </si>
  <si>
    <t>NYDJ Pull-On Bermuda Shorts Clean Marcel 16</t>
  </si>
  <si>
    <t>194477202149</t>
  </si>
  <si>
    <t>W9AK7200</t>
  </si>
  <si>
    <t>Calvin Klein Petite Plus Size Tab-Waist Pan Deep Black 22W</t>
  </si>
  <si>
    <t>885719302405</t>
  </si>
  <si>
    <t>W0FAY569</t>
  </si>
  <si>
    <t>Calvin Klein Plus Size Flutter-Sleeve Top Grotto 3X</t>
  </si>
  <si>
    <t>194414234080</t>
  </si>
  <si>
    <t>W0FK8230</t>
  </si>
  <si>
    <t>Calvin Klein Plus Size Pull-On Wide-Leg Pan Soft White 3X</t>
  </si>
  <si>
    <t>193623101008</t>
  </si>
  <si>
    <t>Calvin Klein Plus Size Cotton Twill Pants White 16W</t>
  </si>
  <si>
    <t>195046242924</t>
  </si>
  <si>
    <t>SHELL: POLYESTER/SPANDEX</t>
  </si>
  <si>
    <t>X8NPV429</t>
  </si>
  <si>
    <t>Calvin Klein Plus Size Belted Cuffed Paper- Black 18W</t>
  </si>
  <si>
    <t>192351243110</t>
  </si>
  <si>
    <t>Anne Klein Beacon Hill Cropped Pants White 10</t>
  </si>
  <si>
    <t>93488409410</t>
  </si>
  <si>
    <t>GUESS Skylar Open-Back Balloon-Sleev Pure White M</t>
  </si>
  <si>
    <t>195124299048</t>
  </si>
  <si>
    <t>GUESS Larison Gingham-Print Ruffled Light Matcha Multi L</t>
  </si>
  <si>
    <t>195124165336</t>
  </si>
  <si>
    <t>UD0SX669</t>
  </si>
  <si>
    <t>DKNY Pencil Skirt Classic Navy 0</t>
  </si>
  <si>
    <t>795730566918</t>
  </si>
  <si>
    <t>UH1P2308</t>
  </si>
  <si>
    <t>DKNY Pull-On Ankle Pants Rhubarb 14</t>
  </si>
  <si>
    <t>782212681191</t>
  </si>
  <si>
    <t>INC International Concepts Mosaic Floral Chiffon Dress Yellow Multi 8</t>
  </si>
  <si>
    <t>93488253990</t>
  </si>
  <si>
    <t>M0ES6723</t>
  </si>
  <si>
    <t>Calvin Klein Cotton Dip-Dyed Long Cardigan Ocean Combo XL</t>
  </si>
  <si>
    <t>194414223619</t>
  </si>
  <si>
    <t>M1HK1269</t>
  </si>
  <si>
    <t>Calvin Klein Satin Jogger Pants Black XL</t>
  </si>
  <si>
    <t>195841687067</t>
  </si>
  <si>
    <t>Calvin Klein Satin Jogger Pants Black M</t>
  </si>
  <si>
    <t>195841687081</t>
  </si>
  <si>
    <t>Anne Klein Denim and Sport Womens On The Run Jacket Willow Tree Medium</t>
  </si>
  <si>
    <t>29023252340</t>
  </si>
  <si>
    <t>DKNY Faux-Leather-Pocket Sweater Dr Avenue Grey XL</t>
  </si>
  <si>
    <t>795728845339</t>
  </si>
  <si>
    <t>MY1732WI</t>
  </si>
  <si>
    <t>Seven7 Womens Contrast Stitch Skinny Light Blue 10</t>
  </si>
  <si>
    <t>194278055241</t>
  </si>
  <si>
    <t>Kasper Textured Keyhole Sheath Dress Lily White 6</t>
  </si>
  <si>
    <t>93488305927</t>
  </si>
  <si>
    <t>DANIELLE BERNSTEIN/REUNITED LLC</t>
  </si>
  <si>
    <t>CONTMP COLLAB</t>
  </si>
  <si>
    <t>320D098</t>
  </si>
  <si>
    <t>Royalty by Maluma Juniors Dot-Print Rhinestone Navy Dots L</t>
  </si>
  <si>
    <t>190917348941</t>
  </si>
  <si>
    <t>Kasper Petite Printed Sleeveless Dres BlackCreme White 12P</t>
  </si>
  <si>
    <t>93488326465</t>
  </si>
  <si>
    <t>Kasper Plus Size 34-Sleeve Duster Ja Willow 1X</t>
  </si>
  <si>
    <t>93488754268</t>
  </si>
  <si>
    <t>CeCe 3D Polka Dot Sweater Antique White S</t>
  </si>
  <si>
    <t>193768177760</t>
  </si>
  <si>
    <t>BAM103MT2</t>
  </si>
  <si>
    <t>BAM by Betsy Adam Zip Up Hoodie Removable Tie- NavyTie Dye XS</t>
  </si>
  <si>
    <t>195170020405</t>
  </si>
  <si>
    <t>BAM by Betsy Adam Zip Up Hoodie Removable Tie- NavyTie Dye S</t>
  </si>
  <si>
    <t>195170020412</t>
  </si>
  <si>
    <t>GUESS Vienna Off-The-Shoulder Smocke Love Song Pink M</t>
  </si>
  <si>
    <t>195124299376</t>
  </si>
  <si>
    <t>W1YH29RE1M0</t>
  </si>
  <si>
    <t>GUESS Long-Sleeve Charisse Blouse Cream White S</t>
  </si>
  <si>
    <t>195124298911</t>
  </si>
  <si>
    <t>W0GD47WCUV0</t>
  </si>
  <si>
    <t>GUESS Claudette Printed Skirt Vintage African Leaves Combo XS</t>
  </si>
  <si>
    <t>7618584420706</t>
  </si>
  <si>
    <t>UC0PX526</t>
  </si>
  <si>
    <t>DKNY Tie-Waist Wide-Leg Pants Almondine 16</t>
  </si>
  <si>
    <t>795730668346</t>
  </si>
  <si>
    <t>98% POLYESTER, 2% SPANDEX</t>
  </si>
  <si>
    <t>CeCe Tiered Floral-Print Dress Soft Emerald XL</t>
  </si>
  <si>
    <t>195203808864</t>
  </si>
  <si>
    <t>78RTP</t>
  </si>
  <si>
    <t>French Connection V-Neck Drop-Shoulder Sweater Dove Grey Melange S</t>
  </si>
  <si>
    <t>889042943151</t>
  </si>
  <si>
    <t>SS2123</t>
  </si>
  <si>
    <t>LNA Ferry Tank White L</t>
  </si>
  <si>
    <t>840201214581</t>
  </si>
  <si>
    <t>12553WM</t>
  </si>
  <si>
    <t>Morgan Company Trendy Plus Size Off-The-Shoul Merlot 20W</t>
  </si>
  <si>
    <t>707762060364</t>
  </si>
  <si>
    <t>12524WM</t>
  </si>
  <si>
    <t>Morgan Company Trendy Plus Size Open-Back Gow BlackNude 14W</t>
  </si>
  <si>
    <t>707762060494</t>
  </si>
  <si>
    <t>Tahari ASL Petite Shannon Slim Ankle Pant Navy 6P</t>
  </si>
  <si>
    <t>635273647005</t>
  </si>
  <si>
    <t>Tahari ASL Petite Shannon Slim Ankle Pant Heather Grey 4P</t>
  </si>
  <si>
    <t>635273646800</t>
  </si>
  <si>
    <t>Kasper Plus Size Sleeveless Colorbloc GreyBlack 16W</t>
  </si>
  <si>
    <t>93488451921</t>
  </si>
  <si>
    <t>EF96NT5225</t>
  </si>
  <si>
    <t>Sam Edelman The Riley Denim Pencil Skirt Natadola 6</t>
  </si>
  <si>
    <t>193653215331</t>
  </si>
  <si>
    <t>P1FDVJ20</t>
  </si>
  <si>
    <t>DKNY Colorblocked Maxi Dress Spring Indigorose Quartz Herb L</t>
  </si>
  <si>
    <t>794278568859</t>
  </si>
  <si>
    <t>Le Suit Pinstriped Pants Suit Indigoivory 6</t>
  </si>
  <si>
    <t>93488005506</t>
  </si>
  <si>
    <t>Anne Klein Split-Neck Sleeveless Dress Margritte BlueNYC White L</t>
  </si>
  <si>
    <t>93488343288</t>
  </si>
  <si>
    <t>CeCe Ruffled Maxi Dress Bright Rose S</t>
  </si>
  <si>
    <t>195203615806</t>
  </si>
  <si>
    <t>DKNY Open-Front Jacket Black 8</t>
  </si>
  <si>
    <t>795733127178</t>
  </si>
  <si>
    <t>GUESS Shay Mixed-Rib Bodycon Dress Summer Orange Multi M</t>
  </si>
  <si>
    <t>195124302212</t>
  </si>
  <si>
    <t>GUESS Allison Cutout Sweater Dress HONEYDEW GREEN MULTI L</t>
  </si>
  <si>
    <t>195124088642</t>
  </si>
  <si>
    <t>GUESS 1981 Cropped Skinny Jeans Light Matcha Multi 31</t>
  </si>
  <si>
    <t>195124295293</t>
  </si>
  <si>
    <t>W1YB97WCUD0</t>
  </si>
  <si>
    <t>GUESS Lidia Printed Pants Caribe Breath Green Combo S</t>
  </si>
  <si>
    <t>7620207152949</t>
  </si>
  <si>
    <t>W1YD0QW3TO2</t>
  </si>
  <si>
    <t>GUESS Altea Skirt Ice Aqua M</t>
  </si>
  <si>
    <t>7620207153540</t>
  </si>
  <si>
    <t>Anne Klein Ivy-Printed Tie-Sash Midi Dres WhiteRainshadow Combo XXL</t>
  </si>
  <si>
    <t>93488777212</t>
  </si>
  <si>
    <t>ELEVEN PARIS Cotton Jogger Pants White S</t>
  </si>
  <si>
    <t>829468909980</t>
  </si>
  <si>
    <t>Splendid Hoodie Top V Olv Brn M</t>
  </si>
  <si>
    <t>193666772807</t>
  </si>
  <si>
    <t>Anne Klein Draped Jacket White L</t>
  </si>
  <si>
    <t>93488329695</t>
  </si>
  <si>
    <t>Le Suit Crewneck Flare-Hem Skirt Suit Grape 14</t>
  </si>
  <si>
    <t>93487744451</t>
  </si>
  <si>
    <t>ELJFKH6050</t>
  </si>
  <si>
    <t>Sam Edelman The Stiletto Cotton High-Rise Koehohe 00</t>
  </si>
  <si>
    <t>193653218981</t>
  </si>
  <si>
    <t>W1YA03D4ER2</t>
  </si>
  <si>
    <t>GUESS Smart Collection Jeggings Black Flex 26</t>
  </si>
  <si>
    <t>7620207144326</t>
  </si>
  <si>
    <t>W1YK59RD8G1</t>
  </si>
  <si>
    <t>GUESS Sleeveless Talia Dress Tie Dye Zebra Print Blue XL</t>
  </si>
  <si>
    <t>195124304674</t>
  </si>
  <si>
    <t>99% COTTON/1% SPANDEX</t>
  </si>
  <si>
    <t>GS9271189</t>
  </si>
  <si>
    <t>JEN7 Raw-Hem Colored Denim Pencil S Black 14</t>
  </si>
  <si>
    <t>190392794684</t>
  </si>
  <si>
    <t>LML0738RE31</t>
  </si>
  <si>
    <t>Barbour Longstone Cotton Ruffled Top Mulberry 4</t>
  </si>
  <si>
    <t>194972313944</t>
  </si>
  <si>
    <t>Anne Klein Plus Size Flapper Daisy-Print MAGRITTE BLUE COMBO 3X</t>
  </si>
  <si>
    <t>93488349907</t>
  </si>
  <si>
    <t>Anne Klein Plus Size Draped Open-Front Ja Anne Black 1X</t>
  </si>
  <si>
    <t>93488664109</t>
  </si>
  <si>
    <t>Bar III Plus Size Open-Front Blazer Blue Shadow 3X</t>
  </si>
  <si>
    <t>93488763499</t>
  </si>
  <si>
    <t>UD1JD061</t>
  </si>
  <si>
    <t>DKNY Plaid Slit-Sleeve Shawl-Collar Peach Blossom Combo 18</t>
  </si>
  <si>
    <t>794278591406</t>
  </si>
  <si>
    <t>H03JS789</t>
  </si>
  <si>
    <t>Tommy Hilfiger Striped One-Button Blazer Khakiivory 12</t>
  </si>
  <si>
    <t>190607406562</t>
  </si>
  <si>
    <t>W1YK61RDWT0</t>
  </si>
  <si>
    <t>GUESS Lita Floral-Print Romper Sweetest Rose Print Blue S</t>
  </si>
  <si>
    <t>195124304766</t>
  </si>
  <si>
    <t>W1YN08RE1C0</t>
  </si>
  <si>
    <t>GUESS Markle Wrap Top Natural M</t>
  </si>
  <si>
    <t>195124305534</t>
  </si>
  <si>
    <t>Calvin Klein French Terry Long Cardigan Black PL</t>
  </si>
  <si>
    <t>193623038106</t>
  </si>
  <si>
    <t>6 S</t>
  </si>
  <si>
    <t>MBDMBB2339S</t>
  </si>
  <si>
    <t>NYDJ Barbara Tummy-Control Bootcut Black 6S</t>
  </si>
  <si>
    <t>889982761990</t>
  </si>
  <si>
    <t>J0XJ0893</t>
  </si>
  <si>
    <t>Tommy Hilfiger Sherpa Toggle Coat Black XXL</t>
  </si>
  <si>
    <t>190607129720</t>
  </si>
  <si>
    <t>NYDJ Sheri Straight-Leg Jeans Black 8</t>
  </si>
  <si>
    <t>889982762553</t>
  </si>
  <si>
    <t>Vince Camuto Floral-Print Pleated Dress Yellow Multi 12</t>
  </si>
  <si>
    <t>689886088649</t>
  </si>
  <si>
    <t>1.STATE Leopard-Print High-Low Dress Carmel Multi M</t>
  </si>
  <si>
    <t>193768463122</t>
  </si>
  <si>
    <t>UE1JP762</t>
  </si>
  <si>
    <t>DKNY Printed Double-Breasted Blazer SandBlackLemon 16</t>
  </si>
  <si>
    <t>794278489796</t>
  </si>
  <si>
    <t>M1CBK958</t>
  </si>
  <si>
    <t>Calvin Klein Belted Denim Midi Shirtdress Indigo 10</t>
  </si>
  <si>
    <t>195046036943</t>
  </si>
  <si>
    <t>W1YK14WE1E0</t>
  </si>
  <si>
    <t>GUESS Jenibelle A-Line Dress Airway Blue Multi 10</t>
  </si>
  <si>
    <t>195124303264</t>
  </si>
  <si>
    <t>GUESS Short-Sleeve Heidi Dress Pure White S</t>
  </si>
  <si>
    <t>195124303318</t>
  </si>
  <si>
    <t>W1YK10R3AF1</t>
  </si>
  <si>
    <t>GUESS Ivy Denim Dress Bondi Beach S</t>
  </si>
  <si>
    <t>195124302991</t>
  </si>
  <si>
    <t>TSMU1WJ476</t>
  </si>
  <si>
    <t>Tahari ASL Collarless Bow Jacket Black 8</t>
  </si>
  <si>
    <t>635273852836</t>
  </si>
  <si>
    <t>JEN7 Sculpting Boyfriend Jeans Bayview 12</t>
  </si>
  <si>
    <t>190392929581</t>
  </si>
  <si>
    <t>RM1A920</t>
  </si>
  <si>
    <t>Splendid Alanis Skirt Med Gray XS</t>
  </si>
  <si>
    <t>193666595680</t>
  </si>
  <si>
    <t>Le Suit Stretch Crepe Dress Suit Orchid 14</t>
  </si>
  <si>
    <t>93488340003</t>
  </si>
  <si>
    <t>Le Suit Plus Size Metallic Tweed Skirt Navy Blue Multi 12</t>
  </si>
  <si>
    <t>93488448723</t>
  </si>
  <si>
    <t>P0EBRFZY</t>
  </si>
  <si>
    <t>DKNY Metallic Thread Tiered Maxi Dr Arizona Earth L</t>
  </si>
  <si>
    <t>795730485479</t>
  </si>
  <si>
    <t>4XL</t>
  </si>
  <si>
    <t>EGG4IT4500</t>
  </si>
  <si>
    <t>Sam Edelman The Stiletto Distressed High-R Ithaca 12</t>
  </si>
  <si>
    <t>193653395828</t>
  </si>
  <si>
    <t>TSMS1WJ444</t>
  </si>
  <si>
    <t>Tahari ASL Open-Front Topper Jacket White 8</t>
  </si>
  <si>
    <t>663309972005</t>
  </si>
  <si>
    <t>SHELL AND LINING: POLYESTER</t>
  </si>
  <si>
    <t>CeCe Sheer Ruffled Dress Red XS</t>
  </si>
  <si>
    <t>195203196664</t>
  </si>
  <si>
    <t>GUESS Rose-Print Maxi Dress Sweetest Rose Print Pink 8</t>
  </si>
  <si>
    <t>195124304247</t>
  </si>
  <si>
    <t>W1YD0GD4EN1</t>
  </si>
  <si>
    <t>GUESS GUESS Mixed-Media Overalls Grey Stripes 27</t>
  </si>
  <si>
    <t>7620207153069</t>
  </si>
  <si>
    <t>F1JQM-U4251P</t>
  </si>
  <si>
    <t>Eileen Fisher Mock Neck Sleeveless Tank Top Chalk PL</t>
  </si>
  <si>
    <t>193481785518</t>
  </si>
  <si>
    <t>Nicole Miller Solid Textured Embroidered-Ele Dark Green XL</t>
  </si>
  <si>
    <t>794566316919</t>
  </si>
  <si>
    <t>Nicole Miller Solid Textured Embroidered-Ele Safari XL</t>
  </si>
  <si>
    <t>794566330700</t>
  </si>
  <si>
    <t>D55WCLA</t>
  </si>
  <si>
    <t>Dauntless Clara Front-Slit Button-Front White L</t>
  </si>
  <si>
    <t>850027946382</t>
  </si>
  <si>
    <t>70% COTTON/14% POLYESTER/14% LYOCELL/2% ELASTANE</t>
  </si>
  <si>
    <t>7U011887</t>
  </si>
  <si>
    <t>7 For All Mankind Aubrey Skinny Jeans Peace Blue 24</t>
  </si>
  <si>
    <t>190392920311</t>
  </si>
  <si>
    <t>Eileen Fisher Petite Crewneck Short-Sleeve D Black PM</t>
  </si>
  <si>
    <t>193481724876</t>
  </si>
  <si>
    <t>1933B-1146</t>
  </si>
  <si>
    <t>Citizens of Humanity Tamryn Denim Bike Shorts Go Getter 30</t>
  </si>
  <si>
    <t>193693172243</t>
  </si>
  <si>
    <t>Eileen Fisher Linen Checked Drawstring Ankle Black PS</t>
  </si>
  <si>
    <t>193481733366</t>
  </si>
  <si>
    <t>F0TLM-P4366M</t>
  </si>
  <si>
    <t>Eileen Fisher Pull-On Pants Charcoal XS</t>
  </si>
  <si>
    <t>193481496698</t>
  </si>
  <si>
    <t>LQU0228BL83</t>
  </si>
  <si>
    <t>Barbour Flyweight Cavalry Quilted Jack China Blue 10</t>
  </si>
  <si>
    <t>194972215637</t>
  </si>
  <si>
    <t>Weekend Max Mara Nazione Striped Wide-Sleeve To Avorio 2XL</t>
  </si>
  <si>
    <t>8051312391111</t>
  </si>
  <si>
    <t>Tommy Jeans Short Sleeve V-Neck Bodysuit Pink Dawn S</t>
  </si>
  <si>
    <t>195105759455</t>
  </si>
  <si>
    <t>716357570539</t>
  </si>
  <si>
    <t>W0YP29R49A7</t>
  </si>
  <si>
    <t>GUESS Jeani Printed Cutout Tie-Back Kula Blooms Print S</t>
  </si>
  <si>
    <t>193327694325</t>
  </si>
  <si>
    <t>802892122644</t>
  </si>
  <si>
    <t>Le Suit Open-Front Jacket Dress Suit Mint 6</t>
  </si>
  <si>
    <t>93487309414</t>
  </si>
  <si>
    <t>H15PT92C</t>
  </si>
  <si>
    <t>RANY WOVEN PANT</t>
  </si>
  <si>
    <t>195105634301</t>
  </si>
  <si>
    <t>Le Suit Petite Button-Front Notch-Coll Loden Green 8P</t>
  </si>
  <si>
    <t>93488369837</t>
  </si>
  <si>
    <t>Le Suit Petite Striped One-Button Pant Navy 10P</t>
  </si>
  <si>
    <t>93488446163</t>
  </si>
  <si>
    <t>Le Suit Petite Stretch Crepe Pantsuit Galaxy Purple 6P</t>
  </si>
  <si>
    <t>93488444732</t>
  </si>
  <si>
    <t>Le Suit Two-Button Seamed Skirt Suit Bordeaux Red 8</t>
  </si>
  <si>
    <t>93488513452</t>
  </si>
  <si>
    <t>Le Suit Plus Size One-Button Tie-Sleev Crabapple Green 22W</t>
  </si>
  <si>
    <t>93488153818</t>
  </si>
  <si>
    <t>Le Suit Plus Size Jacquard Skirt Suit Mariner Blue 24W</t>
  </si>
  <si>
    <t>93488340539</t>
  </si>
  <si>
    <t>Le Suit Shawl-Collar Skirt Suit Black 10</t>
  </si>
  <si>
    <t>93488493587</t>
  </si>
  <si>
    <t>Le Suit Shawl-Collar Skirt Suit Black 4</t>
  </si>
  <si>
    <t>93488493631</t>
  </si>
  <si>
    <t>Le Suit One-Button Pantsuit Black 6</t>
  </si>
  <si>
    <t>93488705505</t>
  </si>
  <si>
    <t>Le Suit Plus Size Pinstriped Single-Bu GrayIndigo Blue 18W</t>
  </si>
  <si>
    <t>93488340911</t>
  </si>
  <si>
    <t>Le Suit Plus Size One-Button Notched-C Black 14W</t>
  </si>
  <si>
    <t>93488128281</t>
  </si>
  <si>
    <t>Le Suit Plus Size Notched-Lapel Pantsu Navy 24W</t>
  </si>
  <si>
    <t>93488494058</t>
  </si>
  <si>
    <t>Le Suit Plus Size One-Button Notched-C Black 24W</t>
  </si>
  <si>
    <t>93488128335</t>
  </si>
  <si>
    <t>Tahari ASL Wrap Jacket Dress Suit Navy 18</t>
  </si>
  <si>
    <t>635273827223</t>
  </si>
  <si>
    <t>Tahari ASL Zip-Front Peplum Skirt Suit Black Sack Stretch 18</t>
  </si>
  <si>
    <t>635273822297</t>
  </si>
  <si>
    <t>Tahari ASL Wrap Jacket Dress Suit Navy 6</t>
  </si>
  <si>
    <t>635273827254</t>
  </si>
  <si>
    <t>TSMF0WN158</t>
  </si>
  <si>
    <t>Tahari ASL Pintuck-Neckline Skirt Suit Bordeaux 10</t>
  </si>
  <si>
    <t>663309917419</t>
  </si>
  <si>
    <t>TSMU1WN026</t>
  </si>
  <si>
    <t>Tahari ASL Peplum Skirt Suit Keylime 4</t>
  </si>
  <si>
    <t>663309998913</t>
  </si>
  <si>
    <t>Tahari ASL Cropped Jacket Dress Suit Royal 18</t>
  </si>
  <si>
    <t>663309973163</t>
  </si>
  <si>
    <t>Tahari ASL Cropped Jacket Dress Suit Royal 8</t>
  </si>
  <si>
    <t>663309973200</t>
  </si>
  <si>
    <t>TSMU1WN181</t>
  </si>
  <si>
    <t>Tahari ASL Peplum Skirt Suit Brown Ivory 10</t>
  </si>
  <si>
    <t>635273853550</t>
  </si>
  <si>
    <t>Tahari ASL Wrap-Jacket Pantsuit Black Ivory 10</t>
  </si>
  <si>
    <t>635273853352</t>
  </si>
  <si>
    <t>Tahari ASL Wrap-Jacket Pantsuit Black Ivory 4</t>
  </si>
  <si>
    <t>635273853413</t>
  </si>
  <si>
    <t>Tahari ASL Collared Skirt Suit Dark Pomegranate 6</t>
  </si>
  <si>
    <t>635273853321</t>
  </si>
  <si>
    <t>Tahari ASL Peplum Skirt Suit Brown Ivory 14</t>
  </si>
  <si>
    <t>635273853574</t>
  </si>
  <si>
    <t>TSMF0WN154</t>
  </si>
  <si>
    <t>Tahari ASL Wrap Jacket Jacquard Dress Sui Red Tonal Floral Jacquard 12</t>
  </si>
  <si>
    <t>663309917228</t>
  </si>
  <si>
    <t>M2270</t>
  </si>
  <si>
    <t>Champion Cotton Practice Shorts Black L</t>
  </si>
  <si>
    <t>192503913205</t>
  </si>
  <si>
    <t>Champion Womens Cotton Get Happy Short Black XS</t>
  </si>
  <si>
    <t>194959321283</t>
  </si>
  <si>
    <t>BGEOVERFLW</t>
  </si>
  <si>
    <t>12UXBEA098</t>
  </si>
  <si>
    <t>Junk Food Womens Beatles Graphic Print Graphite Heather L</t>
  </si>
  <si>
    <t>194973812255</t>
  </si>
  <si>
    <t>Riley Rae Harper Animal-Print Turtleneck Rich black XXL</t>
  </si>
  <si>
    <t>194288282385</t>
  </si>
  <si>
    <t>W9RH0139</t>
  </si>
  <si>
    <t>Tommy Hilfiger Plus Size Cotton V-Neck T-Shir Coralie 0X</t>
  </si>
  <si>
    <t>190607373383</t>
  </si>
  <si>
    <t>Champion Logo Cropped T-Shirt Hush Pink M</t>
  </si>
  <si>
    <t>194164669842</t>
  </si>
  <si>
    <t>Champion Logo Cropped T-Shirt Hush Pink XL</t>
  </si>
  <si>
    <t>194164669866</t>
  </si>
  <si>
    <t>Champion Womens Get Happy Cropped T-Sh Yellow XL</t>
  </si>
  <si>
    <t>194959292880</t>
  </si>
  <si>
    <t>Champion Womens Get Happy Cropped T-Sh Grey M</t>
  </si>
  <si>
    <t>194959292927</t>
  </si>
  <si>
    <t>M1DH0899</t>
  </si>
  <si>
    <t>Calvin Klein Solid Scoop-Neck Tank Top Heather Granite XL</t>
  </si>
  <si>
    <t>195046075607</t>
  </si>
  <si>
    <t>L1TH7826</t>
  </si>
  <si>
    <t>Karl Lagerfeld Paris Cotton Tank Top Tomato M</t>
  </si>
  <si>
    <t>194775657306</t>
  </si>
  <si>
    <t>Splendid Solana Thermal Ribbed-Edge Top Jasmine M</t>
  </si>
  <si>
    <t>193666568608</t>
  </si>
  <si>
    <t>Nine West Sleeveless Keyhole Top White L</t>
  </si>
  <si>
    <t>93487817032</t>
  </si>
  <si>
    <t>Calvin Klein Plus Size Logo Top Pearl Grey HeatherSilver 2X</t>
  </si>
  <si>
    <t>195046425815</t>
  </si>
  <si>
    <t>CeCe Printed Ruffled T-Shirt Rich Black L</t>
  </si>
  <si>
    <t>195203434650</t>
  </si>
  <si>
    <t>7230TM4PD1</t>
  </si>
  <si>
    <t>Kingston Grey Trendy Plus Size Twist-Front F Red 1X</t>
  </si>
  <si>
    <t>708008678848</t>
  </si>
  <si>
    <t>Kingston Grey Trendy Plus Size Twist-Front M Black 2X</t>
  </si>
  <si>
    <t>708008678886</t>
  </si>
  <si>
    <t>Kingston Grey Trendy Plus Size Twist-Front M Purple 3X</t>
  </si>
  <si>
    <t>708008678923</t>
  </si>
  <si>
    <t>Tommy Hilfiger Womens Star-Print Bike Shorts Black XS</t>
  </si>
  <si>
    <t>195105681626</t>
  </si>
  <si>
    <t>Tommy Hilfiger Womens Dream Big Knotted T-Sh White L</t>
  </si>
  <si>
    <t>190607159949</t>
  </si>
  <si>
    <t>Tommy Hilfiger Womens Dream Big Knotted T-Sh Deep Blue XL</t>
  </si>
  <si>
    <t>190607158485</t>
  </si>
  <si>
    <t>M0XHM824</t>
  </si>
  <si>
    <t>Calvin Klein Logo-Embellished Crewneck T-Sh Heather Granite S</t>
  </si>
  <si>
    <t>195046615421</t>
  </si>
  <si>
    <t>Vince Camuto Plus Size Short Sleeve Animal Pearl Ivory 2X</t>
  </si>
  <si>
    <t>195203306599</t>
  </si>
  <si>
    <t>Gloria Vanderbilt Gloria Vanderbilt Generation H Parkes 10</t>
  </si>
  <si>
    <t>8868347978</t>
  </si>
  <si>
    <t>Tommy Jeans Logo-Tape Bike Shorts Black M</t>
  </si>
  <si>
    <t>195105789100</t>
  </si>
  <si>
    <t>Tommy Jeans Contrast-Hem Shorts Rouge XL</t>
  </si>
  <si>
    <t>195105700112</t>
  </si>
  <si>
    <t>T0FD0BZA</t>
  </si>
  <si>
    <t>Tommy Jeans Cotton Logo T-Shirt Dress Sky Captain XL</t>
  </si>
  <si>
    <t>190607205738</t>
  </si>
  <si>
    <t>M0PHD099</t>
  </si>
  <si>
    <t>Calvin Klein Calvin Klein Tie-Dye Cotton Po Whitecashmere S</t>
  </si>
  <si>
    <t>194414221615</t>
  </si>
  <si>
    <t>Tommy Hilfiger Side-Striped Jogger Pants Navy XS</t>
  </si>
  <si>
    <t>192114232122</t>
  </si>
  <si>
    <t>Jessica Simpson Sloane Ribbon-Strap Tank Top Gardenia S</t>
  </si>
  <si>
    <t>8867160004</t>
  </si>
  <si>
    <t>Tommy Hilfiger Cotton Printed Caftan T-Shirt Tea Rose XL</t>
  </si>
  <si>
    <t>190607222353</t>
  </si>
  <si>
    <t>11</t>
  </si>
  <si>
    <t>J6028FBBD0647E</t>
  </si>
  <si>
    <t>Dickies Juniors Logo-Belt Shorts Lotus Pink 11</t>
  </si>
  <si>
    <t>792831389262</t>
  </si>
  <si>
    <t>J7GN0306</t>
  </si>
  <si>
    <t>Tommy Hilfiger Denim Mini Skirt White 14</t>
  </si>
  <si>
    <t>190607609833</t>
  </si>
  <si>
    <t>MONTEAU INC</t>
  </si>
  <si>
    <t>PL59947A</t>
  </si>
  <si>
    <t>Monteau Trendy Plus Size Sash-Belt Pri Black White 1X</t>
  </si>
  <si>
    <t>884630194090</t>
  </si>
  <si>
    <t>W5923G586952</t>
  </si>
  <si>
    <t>Champion Womens Get Happy Fleece Hoodi Grey S</t>
  </si>
  <si>
    <t>194959233449</t>
  </si>
  <si>
    <t>Champion Womens Get Happy Fleece Hoodi Grey XS</t>
  </si>
  <si>
    <t>194959233432</t>
  </si>
  <si>
    <t>CeCe Tiered T-Shirt Ultra White S</t>
  </si>
  <si>
    <t>195203879253</t>
  </si>
  <si>
    <t>Kasper Grommet-Trim Tunic Mariner Blue XL</t>
  </si>
  <si>
    <t>93488306535</t>
  </si>
  <si>
    <t>Tommy Hilfiger Striped Bermuda Shorts Nickel 4</t>
  </si>
  <si>
    <t>192114515133</t>
  </si>
  <si>
    <t>W0DHP257</t>
  </si>
  <si>
    <t>Tommy Hilfiger Plus Size Hamilton Floral Polo Sky Captain Combo 1X</t>
  </si>
  <si>
    <t>190607284139</t>
  </si>
  <si>
    <t>MGST1008A</t>
  </si>
  <si>
    <t>Madden Girl Tiered Smocked Ruffled Skort White S</t>
  </si>
  <si>
    <t>193290743921</t>
  </si>
  <si>
    <t>GUESS Cotton Pique Polo Top Sunset Orange Multi XL</t>
  </si>
  <si>
    <t>195124306135</t>
  </si>
  <si>
    <t>W1YP0NK8CC0</t>
  </si>
  <si>
    <t>GUESS Miriana Cardigan Top Cold Linen Lilac XL</t>
  </si>
  <si>
    <t>7620207171971</t>
  </si>
  <si>
    <t>DKNY Zip-Shoulder T-Shirt Avenue Grey L</t>
  </si>
  <si>
    <t>782212832425</t>
  </si>
  <si>
    <t>H18TM64S</t>
  </si>
  <si>
    <t>Tommy Hilfiger Printed Ruched-Sleeve Top Mole Tannin XS</t>
  </si>
  <si>
    <t>195105499191</t>
  </si>
  <si>
    <t>H12TH29K</t>
  </si>
  <si>
    <t>Tommy Hilfiger Printed Ruffle-Front Top Rosette Pink Multi S</t>
  </si>
  <si>
    <t>195105713839</t>
  </si>
  <si>
    <t>TP19078P</t>
  </si>
  <si>
    <t>Tommy Hilfiger Printed Athletic Capris Scarlet S</t>
  </si>
  <si>
    <t>195105859087</t>
  </si>
  <si>
    <t>Tommy Hilfiger Womens Ombre Logo Sweatshirt Fuchsia Piank S</t>
  </si>
  <si>
    <t>195105680421</t>
  </si>
  <si>
    <t>Tommy Hilfiger Womens Cropped Jogger Pants White Deepblue XS</t>
  </si>
  <si>
    <t>195105678886</t>
  </si>
  <si>
    <t>J9AWD236</t>
  </si>
  <si>
    <t>Tommy Hilfiger Hollywood Sailboat-Print Short Bitty Boats- Sky Captain Multi 6</t>
  </si>
  <si>
    <t>192114517892</t>
  </si>
  <si>
    <t>Dickies Juniors Frayed-Hem Cropped Pa Sky Blue 9</t>
  </si>
  <si>
    <t>792831388869</t>
  </si>
  <si>
    <t>Nine West Flare-Hem Pencil Skirt Black 2</t>
  </si>
  <si>
    <t>716357681662</t>
  </si>
  <si>
    <t>CeCe Off-the-Shoulder Peplum-Hem To Ultra White L</t>
  </si>
  <si>
    <t>195203881737</t>
  </si>
  <si>
    <t>81115308D6</t>
  </si>
  <si>
    <t>1.STATE Textured Flutter-Sleeve Top Soft Ecru S</t>
  </si>
  <si>
    <t>195203532493</t>
  </si>
  <si>
    <t>29A8881E</t>
  </si>
  <si>
    <t>B Darlin Plus Size Studded Dress Face WineGold 2X</t>
  </si>
  <si>
    <t>791841187950</t>
  </si>
  <si>
    <t>Anne Klein Denim and Sport Womens Pull-On Denim Leggings Santa Rosa 12</t>
  </si>
  <si>
    <t>39513395587</t>
  </si>
  <si>
    <t>Riley Rae Modern Stripe Balloon Sleeve T Stripes S</t>
  </si>
  <si>
    <t>195203521350</t>
  </si>
  <si>
    <t>Bar III Trendy Plus Size Printed Ruffl Navywhite 1X</t>
  </si>
  <si>
    <t>93488210498</t>
  </si>
  <si>
    <t>Vince Camuto Vince Camuto Plus Size Ruffle Santorini Blue 1X</t>
  </si>
  <si>
    <t>195203757377</t>
  </si>
  <si>
    <t>Riley Rae Patrice Pants Legacy Pink S</t>
  </si>
  <si>
    <t>195203525389</t>
  </si>
  <si>
    <t>Riley Rae Patrice Pants Legacy Pink XL</t>
  </si>
  <si>
    <t>195203525419</t>
  </si>
  <si>
    <t>BAM132</t>
  </si>
  <si>
    <t>BAM by Betsy Adam Sleeveless Bodysuit with Attac White M</t>
  </si>
  <si>
    <t>195170033757</t>
  </si>
  <si>
    <t>Riley Rae Patrice Pants Legacy Pink M</t>
  </si>
  <si>
    <t>195203525396</t>
  </si>
  <si>
    <t>Calvin Klein Plus Size Side-Button Pencil S White 24W</t>
  </si>
  <si>
    <t>194414052554</t>
  </si>
  <si>
    <t>320B114</t>
  </si>
  <si>
    <t>Royalty by Maluma Lace Bodysuit Black 6</t>
  </si>
  <si>
    <t>190917348750</t>
  </si>
  <si>
    <t>Champion Double Dry Cropped Leggings Black Heather S</t>
  </si>
  <si>
    <t>77478972481</t>
  </si>
  <si>
    <t>Tommy Hilfiger Plus Size Cotton Plaid Camp Sh Rosette 2X</t>
  </si>
  <si>
    <t>195105816042</t>
  </si>
  <si>
    <t>Kasper Tie-Neck Top Lily White S</t>
  </si>
  <si>
    <t>93488753285</t>
  </si>
  <si>
    <t>KC7832M</t>
  </si>
  <si>
    <t>Kancan Kancan Womens High Rise Paper Medium Blue Large</t>
  </si>
  <si>
    <t>840111921524</t>
  </si>
  <si>
    <t>T1AH0BHZ</t>
  </si>
  <si>
    <t>Tommy Jeans Logo Hoodie Sweatshirt Bright White XS</t>
  </si>
  <si>
    <t>195105790168</t>
  </si>
  <si>
    <t>Tommy Jeans Logo Hoodie Sweatshirt Black S</t>
  </si>
  <si>
    <t>195105786024</t>
  </si>
  <si>
    <t>H17TY09A</t>
  </si>
  <si>
    <t>Tommy Hilfiger Smocked-Cuff High-Low Top Ivory M</t>
  </si>
  <si>
    <t>195105500903</t>
  </si>
  <si>
    <t>Tommy Hilfiger Colorblocked Zip-Up Hoodie Black S</t>
  </si>
  <si>
    <t>192114233303</t>
  </si>
  <si>
    <t>GUESS GUESS Ribbed Short-Sleeve Swea Cream Rose S</t>
  </si>
  <si>
    <t>195124123596</t>
  </si>
  <si>
    <t>X17TY69A</t>
  </si>
  <si>
    <t>Calvin Klein Plus Size Ruffled Split Neck B Cream 1X</t>
  </si>
  <si>
    <t>195841507884</t>
  </si>
  <si>
    <t>W9CM6530</t>
  </si>
  <si>
    <t>Tommy Hilfiger Plus Size Cotton Two-Tone Stri BloomBay Blue 1X</t>
  </si>
  <si>
    <t>192114470579</t>
  </si>
  <si>
    <t>TP16367X</t>
  </si>
  <si>
    <t>Tommy Hilfiger Plus Size Logo Terry Boyfriend Deep Blue 0X</t>
  </si>
  <si>
    <t>195105728697</t>
  </si>
  <si>
    <t>Tommy Hilfiger Womens Colorblocked Track Jac Scarlet XL</t>
  </si>
  <si>
    <t>195105678992</t>
  </si>
  <si>
    <t>J0DMH510</t>
  </si>
  <si>
    <t>Tommy Hilfiger Ruffled Halter Top Sorrento Floral- Sky Captain M M</t>
  </si>
  <si>
    <t>190607278169</t>
  </si>
  <si>
    <t>POLYESTER/VISCOSE/ELASTANE</t>
  </si>
  <si>
    <t>Nine West Skinny Pants Crimson Red 10</t>
  </si>
  <si>
    <t>93487723524</t>
  </si>
  <si>
    <t>Anne Klein Denim and Sport Womens Sailor Wide Leg Crop J Cosmos 6</t>
  </si>
  <si>
    <t>39513371529</t>
  </si>
  <si>
    <t>Anne Klein Denim and Sport Womens Essential Jean Jacket Gulf Breeze XLarge</t>
  </si>
  <si>
    <t>29023324474</t>
  </si>
  <si>
    <t>Seven7 Shortalls Warm Sand XS</t>
  </si>
  <si>
    <t>194278195343</t>
  </si>
  <si>
    <t>E1FMJB2P</t>
  </si>
  <si>
    <t>DKNY Jeans Cotton Cargo Jogger Pants Rose Quartz XL</t>
  </si>
  <si>
    <t>794278598559</t>
  </si>
  <si>
    <t>18W AVER</t>
  </si>
  <si>
    <t>Morgan Company Trendy Plus Size Off-The-Shoul Cobalt 18W</t>
  </si>
  <si>
    <t>707762350113</t>
  </si>
  <si>
    <t>Bar III Plus Size Floral-Print Tie-Nec Blue Shadow Multi 2X</t>
  </si>
  <si>
    <t>93488766513</t>
  </si>
  <si>
    <t>Kasper Sunset Waves Tank Top Valencia Multi 1X</t>
  </si>
  <si>
    <t>93488207276</t>
  </si>
  <si>
    <t>Kasper Petite Pencil Skirt Lily White 10P</t>
  </si>
  <si>
    <t>93488101956</t>
  </si>
  <si>
    <t>Kasper Plus Size Pencil Skirt Charcoal 22W</t>
  </si>
  <si>
    <t>93487635230</t>
  </si>
  <si>
    <t>Kasper Plus Size Pencil Skirt Charcoal 18W</t>
  </si>
  <si>
    <t>93487635216</t>
  </si>
  <si>
    <t>Kasper Plus Size Sleeveless Tie-Neck Lily White 1X</t>
  </si>
  <si>
    <t>93488753704</t>
  </si>
  <si>
    <t>Kasper Plus Size Pencil Skirt Charcoal 20W</t>
  </si>
  <si>
    <t>93487635223</t>
  </si>
  <si>
    <t>Kasper Petite Stretch Slim-Fit Skirt Scarlet 6P</t>
  </si>
  <si>
    <t>93488374121</t>
  </si>
  <si>
    <t>Nine West Plus Size V-Neck Top Silver 2X</t>
  </si>
  <si>
    <t>93487766767</t>
  </si>
  <si>
    <t>Nine West Solid Blazer Black 14</t>
  </si>
  <si>
    <t>762731605687</t>
  </si>
  <si>
    <t>1.STATE Smocked-Neck Flutter-Sleeve Dr Bright Mulberry XL</t>
  </si>
  <si>
    <t>195203250311</t>
  </si>
  <si>
    <t>Calvin Klein Petite Plaid Pencil Skirt Charcoal Multi 14P</t>
  </si>
  <si>
    <t>195841696120</t>
  </si>
  <si>
    <t>Kasper Petite Cropped Straight-Leg Pa Butterscotch Yellow 16P</t>
  </si>
  <si>
    <t>93488085652</t>
  </si>
  <si>
    <t>T7SPD036</t>
  </si>
  <si>
    <t>Calvin Klein Petite Modern Straight-Leg Pan Blue 10P</t>
  </si>
  <si>
    <t>193623172824</t>
  </si>
  <si>
    <t>Calvin Klein Plus Size Printed Ruched-Sleev Grey Combo 1X</t>
  </si>
  <si>
    <t>195046059973</t>
  </si>
  <si>
    <t>E0RK0602</t>
  </si>
  <si>
    <t>DKNY Jeans High-Rise Skinny-Fit Ankle Jea Pure Blue 25</t>
  </si>
  <si>
    <t>795730960044</t>
  </si>
  <si>
    <t>Bar III Plus Size Printed Puff-Shoulde RosewoodBar White 1X</t>
  </si>
  <si>
    <t>93488766742</t>
  </si>
  <si>
    <t>76QBQ</t>
  </si>
  <si>
    <t>French Connection Tommy Striped Crop Top Black-summer White L</t>
  </si>
  <si>
    <t>192942843828</t>
  </si>
  <si>
    <t>Calvin Klein x Cafe Ole XL</t>
  </si>
  <si>
    <t>195841748089</t>
  </si>
  <si>
    <t>M1CKW294</t>
  </si>
  <si>
    <t>Calvin Klein Flared-Leg Belt Pants Black 14</t>
  </si>
  <si>
    <t>195046344468</t>
  </si>
  <si>
    <t>M1HKH232</t>
  </si>
  <si>
    <t>Calvin Klein Tech Stretch Pull On Pants Melange Grey XL</t>
  </si>
  <si>
    <t>195841686817</t>
  </si>
  <si>
    <t>Anne Klein Printed Open-Front Chiffon Car Blackanne White XXSXS</t>
  </si>
  <si>
    <t>93488296720</t>
  </si>
  <si>
    <t>T03PA117</t>
  </si>
  <si>
    <t>Calvin Klein Petite Belted Pants Navy 4P</t>
  </si>
  <si>
    <t>194414547173</t>
  </si>
  <si>
    <t>Kasper Plus Size Carly Trouser Pants Indigo 18W</t>
  </si>
  <si>
    <t>716357663309</t>
  </si>
  <si>
    <t>BAM by Betsy Adam Side-Zip Hoodie with Removable Sand M</t>
  </si>
  <si>
    <t>195170020221</t>
  </si>
  <si>
    <t>W7VKX266</t>
  </si>
  <si>
    <t>Calvin Klein Plus Size Skinny Pants Black 0X</t>
  </si>
  <si>
    <t>191797964214</t>
  </si>
  <si>
    <t>Calvin Klein Plus Size Belted Cuffed Paper- Black 22W</t>
  </si>
  <si>
    <t>192351243097</t>
  </si>
  <si>
    <t>Anne Klein Denim Pull-On Pants Ltpasblue XL</t>
  </si>
  <si>
    <t>93488804475</t>
  </si>
  <si>
    <t>W1YQ01KAOR1</t>
  </si>
  <si>
    <t>GUESS Amanda Fleece Sweatshirt Cream White L</t>
  </si>
  <si>
    <t>7620207174170</t>
  </si>
  <si>
    <t>QUIZ/TARAK INTERNATIONAL - CONSIGN</t>
  </si>
  <si>
    <t>QUIZ Plus Size Organza-Sleeve Fit Black 16W</t>
  </si>
  <si>
    <t>5053741516007</t>
  </si>
  <si>
    <t>Bar III Plus Size Straight-Leg Pants Morello Cherry 22W</t>
  </si>
  <si>
    <t>93488998037</t>
  </si>
  <si>
    <t>BAM by Betsy Adam Zippered Hoodie with Removable Sand XL</t>
  </si>
  <si>
    <t>195170020344</t>
  </si>
  <si>
    <t>M0FKW224</t>
  </si>
  <si>
    <t>Calvin Klein Belted Wide-Leg Cropped Pants Black 14</t>
  </si>
  <si>
    <t>193623065881</t>
  </si>
  <si>
    <t>Kasper Plus Size Slim-Leg Pants Fire Red 22W</t>
  </si>
  <si>
    <t>93488469223</t>
  </si>
  <si>
    <t>P1HS80J3</t>
  </si>
  <si>
    <t>DKNY Mixed Media Turtleneck Sweater Blackwhiskey Sour M</t>
  </si>
  <si>
    <t>794278012840</t>
  </si>
  <si>
    <t>DKNY Faux-Leather-Pocket Sweater Dr Avenue Grey M</t>
  </si>
  <si>
    <t>795728845353</t>
  </si>
  <si>
    <t>20</t>
  </si>
  <si>
    <t>B Darlin Trendy Plus Size High-Low Dres Black 20W</t>
  </si>
  <si>
    <t>791841087878</t>
  </si>
  <si>
    <t>Vince Camuto Plus Size Long Sleeve Ruffled New Ivory 3X</t>
  </si>
  <si>
    <t>195203580364</t>
  </si>
  <si>
    <t>Calvin Klein Plus Size Slim-Leg Pants Klein Blue 24W</t>
  </si>
  <si>
    <t>195841410597</t>
  </si>
  <si>
    <t>Kasper Petite Open-Front Cardigan Willow PS</t>
  </si>
  <si>
    <t>93488750253</t>
  </si>
  <si>
    <t>Kasper Plus Size Cropped Ankle Pants Mariner Blue 14W</t>
  </si>
  <si>
    <t>93488300397</t>
  </si>
  <si>
    <t>X05J2762</t>
  </si>
  <si>
    <t>Calvin Klein Plus Size One-Button Blazer White 20W</t>
  </si>
  <si>
    <t>194414053384</t>
  </si>
  <si>
    <t>CeCe 3D Polka Dot Sweater Light Heather Grey XS</t>
  </si>
  <si>
    <t>193768177685</t>
  </si>
  <si>
    <t>Anne Klein Peplum Blouse White 6</t>
  </si>
  <si>
    <t>93488665953</t>
  </si>
  <si>
    <t>Anne Klein Lace-Sleeve Blouse Anne BlackPeacock S</t>
  </si>
  <si>
    <t>93488601036</t>
  </si>
  <si>
    <t>NYDJ Denim Tummy-Control Bermuda Sh Equinox Wash 14</t>
  </si>
  <si>
    <t>194477231200</t>
  </si>
  <si>
    <t>GUESS Vienna Off-The-Shoulder Smocke Love Song Pink XS</t>
  </si>
  <si>
    <t>195124299406</t>
  </si>
  <si>
    <t>W1GK51R9UO1</t>
  </si>
  <si>
    <t>GUESS Raylynn Henley Ribbed Dress Jet Black XL</t>
  </si>
  <si>
    <t>195124135964</t>
  </si>
  <si>
    <t>Anne Klein Printed Shift Dress Anne Blackanise XL</t>
  </si>
  <si>
    <t>93488852834</t>
  </si>
  <si>
    <t>UH1P4202</t>
  </si>
  <si>
    <t>DKNY Belted High-Waist Pants Black 18</t>
  </si>
  <si>
    <t>782212747958</t>
  </si>
  <si>
    <t>782418865050</t>
  </si>
  <si>
    <t>UG1PP401</t>
  </si>
  <si>
    <t>DKNY Essex Plaid Ankle Pants Regatta Blue Multi 6</t>
  </si>
  <si>
    <t>782212754949</t>
  </si>
  <si>
    <t>Nine West Contrast-Piping Jewel-Neck Jac MauveBlack 14</t>
  </si>
  <si>
    <t>93487939901</t>
  </si>
  <si>
    <t>Nine West Contrast-Trim Open-Front Blaze Plum Purple Black 8</t>
  </si>
  <si>
    <t>93487716779</t>
  </si>
  <si>
    <t>Le Suit Pant Suit Blue Mist 6</t>
  </si>
  <si>
    <t>93487213841</t>
  </si>
  <si>
    <t>BAM110T2</t>
  </si>
  <si>
    <t>BAM by Betsy Adam Tie-Dyed Cropped Zip-Up Hoodie Tie Dye Multiwhite XS</t>
  </si>
  <si>
    <t>195170020658</t>
  </si>
  <si>
    <t>From Grayscale Deep V-Neck Layered-Look Top Light Gray XS</t>
  </si>
  <si>
    <t>850029373568</t>
  </si>
  <si>
    <t>Tahari ASL Petite Shannon Slim Ankle Pant Black 4P</t>
  </si>
  <si>
    <t>635273646718</t>
  </si>
  <si>
    <t>Tahari ASL Petite Shannon Slim Ankle Pant Black 6P</t>
  </si>
  <si>
    <t>635273646725</t>
  </si>
  <si>
    <t>Tahari ASL Petite Shannon Slim Ankle Pant Navy 4P</t>
  </si>
  <si>
    <t>635273646992</t>
  </si>
  <si>
    <t>Kasper Petite Zip-Pocket Jacket Cerise 8P</t>
  </si>
  <si>
    <t>93488853756</t>
  </si>
  <si>
    <t>POLYESTER/ELASTANE; LINING; POLYESTER</t>
  </si>
  <si>
    <t>Kasper Petite Crepe One-Button Jacket Vanilla Ice 10P</t>
  </si>
  <si>
    <t>93487327524</t>
  </si>
  <si>
    <t>RM1A510</t>
  </si>
  <si>
    <t>Splendid Juniors Clearwater Shorts White S</t>
  </si>
  <si>
    <t>193666594560</t>
  </si>
  <si>
    <t>CeCe Floral Ruffled A-Line Dress Mountain Rose 12</t>
  </si>
  <si>
    <t>195203438368</t>
  </si>
  <si>
    <t>W1YA08D49T3</t>
  </si>
  <si>
    <t>GUESS 1981 High-Rise Straight-Leg Je Sail Away 31</t>
  </si>
  <si>
    <t>195124340276</t>
  </si>
  <si>
    <t>Calvin Klein Faux Leather Tie-Waist Pants Tin XL</t>
  </si>
  <si>
    <t>195841348210</t>
  </si>
  <si>
    <t>Calvin Klein Faux Leather Tie-Waist Pants Tin S</t>
  </si>
  <si>
    <t>195841348241</t>
  </si>
  <si>
    <t>XD1J2899</t>
  </si>
  <si>
    <t>DKNY Petite Ruched-Sleeve Open-Fron Rose Dust 14P</t>
  </si>
  <si>
    <t>794278580134</t>
  </si>
  <si>
    <t>320P078</t>
  </si>
  <si>
    <t>Royalty by Maluma Rhinestone-Chain Cutout Pants Black 12</t>
  </si>
  <si>
    <t>190917347234</t>
  </si>
  <si>
    <t>Royalty by Maluma Rhinestone-Chain Cutout Pants Black 16</t>
  </si>
  <si>
    <t>190917347258</t>
  </si>
  <si>
    <t>Kasper Roll-Sleeve Crepe Jacket Lily White XL</t>
  </si>
  <si>
    <t>93488301417</t>
  </si>
  <si>
    <t>Anne Klein Plus Size Lily Printed Dress MAGRITTE BLUE COMBO 3X</t>
  </si>
  <si>
    <t>93488348740</t>
  </si>
  <si>
    <t>Le Suit Mini Crosshatch Button-Front N Black 12</t>
  </si>
  <si>
    <t>93488386872</t>
  </si>
  <si>
    <t>Le Suit Petite Two-Button Pantsuit Indigo Blue Multi 14</t>
  </si>
  <si>
    <t>93488340584</t>
  </si>
  <si>
    <t>B Darlin Trendy Plus Size Off-The-Shoul Vintage Pink 16W</t>
  </si>
  <si>
    <t>791841089117</t>
  </si>
  <si>
    <t>Le Suit Petite Glazed Melange Pantsuit Black 6P</t>
  </si>
  <si>
    <t>93488524793</t>
  </si>
  <si>
    <t>Le Suit Petite Mini Crosshatch Pantsui RedBlack 6P</t>
  </si>
  <si>
    <t>93488554288</t>
  </si>
  <si>
    <t>Le Suit Petite Glazed Melange Pantsuit Black 2P</t>
  </si>
  <si>
    <t>93488524779</t>
  </si>
  <si>
    <t>Le Suit Pinstriped Single-Button Pants BlackRed Multi 10</t>
  </si>
  <si>
    <t>93488554394</t>
  </si>
  <si>
    <t>Le Suit Long-Sleeve Pinstripe Blazer P Taupe Beige 12</t>
  </si>
  <si>
    <t>93488370932</t>
  </si>
  <si>
    <t>Le Suit Single-Button Skirt Suit Bordeaux Multi 10</t>
  </si>
  <si>
    <t>93487713099</t>
  </si>
  <si>
    <t>Le Suit Herringbone-Pattern Pants Suit Chocolate BrownIvory 14</t>
  </si>
  <si>
    <t>93488521648</t>
  </si>
  <si>
    <t>W1YK90Z2DC0</t>
  </si>
  <si>
    <t>GUESS Carole Cutout Sweater Dress Asphalt Green L</t>
  </si>
  <si>
    <t>7620207169398</t>
  </si>
  <si>
    <t>W1YK08D4E30</t>
  </si>
  <si>
    <t>GUESS Tiana Belted Chambray Shirtdre Missing Link S</t>
  </si>
  <si>
    <t>195124302694</t>
  </si>
  <si>
    <t>TOP, MESH: POLYESTER/SPANDEX; SKIRT, LINING: POLYESTER</t>
  </si>
  <si>
    <t>24W AVER</t>
  </si>
  <si>
    <t>12339WM</t>
  </si>
  <si>
    <t>Morgan Company Trendy Plus Size Printed A-Lin BlackWhite 24W</t>
  </si>
  <si>
    <t>707762111547</t>
  </si>
  <si>
    <t>H18JK16A</t>
  </si>
  <si>
    <t>Tommy Hilfiger Knit One-Button Blazer Camel Ivory 2</t>
  </si>
  <si>
    <t>195105514269</t>
  </si>
  <si>
    <t>Tommy Hilfiger Knit One-Button Blazer Camel Ivory 12</t>
  </si>
  <si>
    <t>195105514221</t>
  </si>
  <si>
    <t>BODY: POLYESTER/SPANDEX; LINING: POLYESTER</t>
  </si>
  <si>
    <t>14AV/MD/RG</t>
  </si>
  <si>
    <t>JJ37171</t>
  </si>
  <si>
    <t>julia jordan Asymmetrical Flutter-Sleeve Ju Hunter 14</t>
  </si>
  <si>
    <t>889648354931</t>
  </si>
  <si>
    <t>Kasper Open-Front Jacket Mariner Blue M</t>
  </si>
  <si>
    <t>93488299769</t>
  </si>
  <si>
    <t>Kasper Shawl-Collar Houndstooth Jacqu Sunburst Multi 14</t>
  </si>
  <si>
    <t>93488087335</t>
  </si>
  <si>
    <t>Le Suit Plus Size Notch-Collar Skirt S WhiteBlack 24W</t>
  </si>
  <si>
    <t>93487313244</t>
  </si>
  <si>
    <t>Le Suit Two-Button Dot-Print Pantsuit ButtercreamBlack 4</t>
  </si>
  <si>
    <t>93487309162</t>
  </si>
  <si>
    <t>VC1M3044</t>
  </si>
  <si>
    <t>Vince Camuto Cotton Colorblocked Shirtdress Natural 10</t>
  </si>
  <si>
    <t>194592878397</t>
  </si>
  <si>
    <t>Bar III Plus Size Open-Front Blazer Blue Shadow 2X</t>
  </si>
  <si>
    <t>93488763482</t>
  </si>
  <si>
    <t>Bar III Plus Size Ruched-Sleeve Blazer Pink Punch 2X</t>
  </si>
  <si>
    <t>93488671961</t>
  </si>
  <si>
    <t>H16JS925</t>
  </si>
  <si>
    <t>Tommy Hilfiger Striped Ruched-Cuff Blazer Midnight Multi 2</t>
  </si>
  <si>
    <t>195105644133</t>
  </si>
  <si>
    <t>H12JB34A</t>
  </si>
  <si>
    <t>Tommy Hilfiger Single-Button Blazer Khaki 12</t>
  </si>
  <si>
    <t>195105719893</t>
  </si>
  <si>
    <t>Tommy Hilfiger Single-Button Blazer Khaki 6</t>
  </si>
  <si>
    <t>195105719923</t>
  </si>
  <si>
    <t>Le Suit Plus Size Contrast-Trim One-Bu Marigold YellowBlack 20W</t>
  </si>
  <si>
    <t>93488493372</t>
  </si>
  <si>
    <t>GUESS Tristian Belted Dress Face M Bleached Tropical Print 6</t>
  </si>
  <si>
    <t>195124303714</t>
  </si>
  <si>
    <t>X18JL910</t>
  </si>
  <si>
    <t>Calvin Klein Plus Size Open-Front Pleated-C Klein Blue 22W</t>
  </si>
  <si>
    <t>195841695024</t>
  </si>
  <si>
    <t>Calvin Klein Plus Size Open-Front Pleated-C Klein Blue 20W</t>
  </si>
  <si>
    <t>195841695031</t>
  </si>
  <si>
    <t>Kasper Plus Size Notch-Collar Blazer Mariner Blue 3X</t>
  </si>
  <si>
    <t>93488299882</t>
  </si>
  <si>
    <t>Kasper Plus Size Notch-Collar Blazer Mariner Blue 2X</t>
  </si>
  <si>
    <t>93488299875</t>
  </si>
  <si>
    <t>Kasper Plus Size Faux-Double-Breasted Lily White 20W</t>
  </si>
  <si>
    <t>93488085270</t>
  </si>
  <si>
    <t>1.STATE Leopard-Print High-Low Dress Carmel Multi L</t>
  </si>
  <si>
    <t>193768463139</t>
  </si>
  <si>
    <t>Tommy Hilfiger 1-Button Long Blazer Midnight Multi 4</t>
  </si>
  <si>
    <t>195105505625</t>
  </si>
  <si>
    <t>Tommy Hilfiger 1-Button Long Blazer Midnight Multi 14</t>
  </si>
  <si>
    <t>195105505571</t>
  </si>
  <si>
    <t>M0FBZ946</t>
  </si>
  <si>
    <t>Calvin Klein Printed Ruffled High-Neck Slee CanaryWhite Multi S</t>
  </si>
  <si>
    <t>193623063788</t>
  </si>
  <si>
    <t>Calvin Klein Plus Size Open-Front Roll-Cuff Aubergine 18W</t>
  </si>
  <si>
    <t>195841737526</t>
  </si>
  <si>
    <t>City Studios Trendy Plus Size Ombre Rainbo Ivory Combo 24W</t>
  </si>
  <si>
    <t>708008687383</t>
  </si>
  <si>
    <t>Anne Klein Pinstriped Single-Button Blaze Poppyanne White 2</t>
  </si>
  <si>
    <t>93487379233</t>
  </si>
  <si>
    <t>MCDGAS8050</t>
  </si>
  <si>
    <t>NYDJ Grace Tummy-Control Skinny Jea Grace 18</t>
  </si>
  <si>
    <t>194477160487</t>
  </si>
  <si>
    <t>From Grayscale Shimmer Cropped Vest Rose Gold L</t>
  </si>
  <si>
    <t>850029373391</t>
  </si>
  <si>
    <t>TSMU1WJ442</t>
  </si>
  <si>
    <t>Tahari ASL Tie-Front Utility Jacket Key Lime 6</t>
  </si>
  <si>
    <t>663309995561</t>
  </si>
  <si>
    <t>7G806489</t>
  </si>
  <si>
    <t>JEN7 Cropped Wide-Leg Jeans Sunset Destroy 8</t>
  </si>
  <si>
    <t>190392930228</t>
  </si>
  <si>
    <t>Le Suit Star-Collar Striped Dress Suit BlackWhite 10</t>
  </si>
  <si>
    <t>93488387114</t>
  </si>
  <si>
    <t>Le Suit Stretch Crepe Dress Suit Mariner Blue 4</t>
  </si>
  <si>
    <t>93488340119</t>
  </si>
  <si>
    <t>Le Suit Plus Size Metallic Tweed Skirt Navy Blue Multi 14</t>
  </si>
  <si>
    <t>93488448730</t>
  </si>
  <si>
    <t>TSMU1KJ472</t>
  </si>
  <si>
    <t>Tahari ASL Jacquard Jacket Pink Ivory Tweed 16</t>
  </si>
  <si>
    <t>635273850931</t>
  </si>
  <si>
    <t>RS1K830</t>
  </si>
  <si>
    <t>Splendid Sun-Wash Bubble Sleeve Sweatsh Pink L</t>
  </si>
  <si>
    <t>193666481181</t>
  </si>
  <si>
    <t>TSMF0WN159</t>
  </si>
  <si>
    <t>Tahari ASL Notched-Collar Pantsuit Navy 12</t>
  </si>
  <si>
    <t>663309917624</t>
  </si>
  <si>
    <t>Tahari ASL Zip-Front Peplum Skirt Suit Black Sack Stretch 12</t>
  </si>
  <si>
    <t>635273822266</t>
  </si>
  <si>
    <t>LKN1219YE92</t>
  </si>
  <si>
    <t>Barbour Ferryside Button Cardigan Mustard 14</t>
  </si>
  <si>
    <t>194972568535</t>
  </si>
  <si>
    <t>TSMF0WN086</t>
  </si>
  <si>
    <t>Tahari ASL Belted-Jacket Skirt Suit Black 8</t>
  </si>
  <si>
    <t>663309938612</t>
  </si>
  <si>
    <t>Tahari ASL Collarless Faux-Double-Breaste Ivory Gold Metallic Tweed 8</t>
  </si>
  <si>
    <t>663309917396</t>
  </si>
  <si>
    <t>Marella Garner Silk Blouse Deep Blue 14</t>
  </si>
  <si>
    <t>8056232651239</t>
  </si>
  <si>
    <t>Marella Printed Ankle Pants White 12</t>
  </si>
  <si>
    <t>8056232663638</t>
  </si>
  <si>
    <t>89% TENCEL Ââ€ž¢ LYOCELL/11% ELASTANE</t>
  </si>
  <si>
    <t>S1DSE-D4956M</t>
  </si>
  <si>
    <t>Eileen Fisher Ribbed Sheath Dress Black XL</t>
  </si>
  <si>
    <t>193481630320</t>
  </si>
  <si>
    <t>Weekend Max Mara Weekend Max Mara Striped Embel Azzurro M</t>
  </si>
  <si>
    <t>8056725520240</t>
  </si>
  <si>
    <t>Marella Marella Striped Crewneck Sweat Lilac M</t>
  </si>
  <si>
    <t>8056232539766</t>
  </si>
  <si>
    <t>100% LINEN</t>
  </si>
  <si>
    <t>MADE IN MOROCCO</t>
  </si>
  <si>
    <t>Weekend Max Mara Weekend Max Mara Striped Butto Malva 6</t>
  </si>
  <si>
    <t>8051312204602</t>
  </si>
  <si>
    <t>Weekend Max Mara Esule Printed Straight-Leg Pan Avorio 14</t>
  </si>
  <si>
    <t>8051312440888</t>
  </si>
  <si>
    <t>Weekend Max Mara Weekend Max Mara Asymmetrical Blu M</t>
  </si>
  <si>
    <t>8051312438021</t>
  </si>
  <si>
    <t>Marella Cotton Neptune Eyelet Dress White 6</t>
  </si>
  <si>
    <t>8056232603771</t>
  </si>
  <si>
    <t>Marella Printed Shirtdress Oxford 8</t>
  </si>
  <si>
    <t>8056232840855</t>
  </si>
  <si>
    <t>Weekend Max Mara Weekend Max Mara Tevere Tiered Avorio 6</t>
  </si>
  <si>
    <t>8051312246206</t>
  </si>
  <si>
    <t>J3324JRD1653A</t>
  </si>
  <si>
    <t>DRAFT - CROP MUSCLE TANK W PO Lotus Pink XS</t>
  </si>
  <si>
    <t>792831388326</t>
  </si>
  <si>
    <t>B6472</t>
  </si>
  <si>
    <t>SOFT TOUCH STRAPPY</t>
  </si>
  <si>
    <t>77478965513</t>
  </si>
  <si>
    <t>T0FH0ADF</t>
  </si>
  <si>
    <t>Tommy Jeans Sleeveless Logo Bodysuit Scarlet M</t>
  </si>
  <si>
    <t>190607205004</t>
  </si>
  <si>
    <t>Tommy Jeans Short Sleeve V-Neck Bodysuit True Navy XL</t>
  </si>
  <si>
    <t>195105759356</t>
  </si>
  <si>
    <t>190607131884</t>
  </si>
  <si>
    <t>190607131938</t>
  </si>
  <si>
    <t>Le Suit Open-Front Jacket Dress Suit Mint 8</t>
  </si>
  <si>
    <t>93487309421</t>
  </si>
  <si>
    <t>G06SH13Z</t>
  </si>
  <si>
    <t>Karl Lagerfeld Paris Pleated Dot-Print Skirt Blackcream 8</t>
  </si>
  <si>
    <t>194775963025</t>
  </si>
  <si>
    <t>Le Suit Notched Collar Two-Button Pant Loden Green 4</t>
  </si>
  <si>
    <t>93488369653</t>
  </si>
  <si>
    <t>Le Suit Long-Sleeve Pinstripe Blazer P Taupe Beige 18</t>
  </si>
  <si>
    <t>93488370963</t>
  </si>
  <si>
    <t>Le Suit Petite Mini Crosshatch Pantsui RedBlack 14P</t>
  </si>
  <si>
    <t>93488554240</t>
  </si>
  <si>
    <t>Le Suit Petite Mini-Houndstooth Pantsu Bordeaux Multi 12P</t>
  </si>
  <si>
    <t>93488524250</t>
  </si>
  <si>
    <t>Le Suit Two-Button Skirt Suit GreyWhite 6</t>
  </si>
  <si>
    <t>93488341444</t>
  </si>
  <si>
    <t>RITZ DOT SLVLS DRAWSTRIN</t>
  </si>
  <si>
    <t>93488804376</t>
  </si>
  <si>
    <t>Le Suit Plus Size Diamond Jacquard Pan BlackWhite 16W</t>
  </si>
  <si>
    <t>93488387794</t>
  </si>
  <si>
    <t>COTTON EYELET TIE NECK 3</t>
  </si>
  <si>
    <t>689886082715</t>
  </si>
  <si>
    <t>Le Suit Plus Size One-Button Pant Suit Bordeaux Red 22W</t>
  </si>
  <si>
    <t>93488513186</t>
  </si>
  <si>
    <t>GT18H586920</t>
  </si>
  <si>
    <t>Champion Womens Classic Americana-Logo White XXL</t>
  </si>
  <si>
    <t>194959356230</t>
  </si>
  <si>
    <t>Champion Cotton Pull-On Shorts Deep Forte Blue XL</t>
  </si>
  <si>
    <t>77478960549</t>
  </si>
  <si>
    <t>Champion Cotton Pull-On Shorts Fantastic Fuchsia XL</t>
  </si>
  <si>
    <t>77478960488</t>
  </si>
  <si>
    <t>12WXJF330</t>
  </si>
  <si>
    <t>Junk Food Cotton Summer State of Mind-Gr Marshmallow XS</t>
  </si>
  <si>
    <t>195883031897</t>
  </si>
  <si>
    <t>12WXJF294</t>
  </si>
  <si>
    <t>Junk Food Womens A Whole Lotta Love T-S Marshmallow XS</t>
  </si>
  <si>
    <t>194973737442</t>
  </si>
  <si>
    <t>Junk Food Womens Woodstock Graphic Prin Teal S</t>
  </si>
  <si>
    <t>194973856747</t>
  </si>
  <si>
    <t>MGST1012A</t>
  </si>
  <si>
    <t>Madden Girl Juniors Cotton Ruched Graphic Bubblegum XS</t>
  </si>
  <si>
    <t>193290743747</t>
  </si>
  <si>
    <t>Tommy Hilfiger Logo Knot-Front T-Shirt Fuchsia Pink M</t>
  </si>
  <si>
    <t>190607334926</t>
  </si>
  <si>
    <t>Tommy Hilfiger Logo Knot-Front T-Shirt Fuchsia Pink L</t>
  </si>
  <si>
    <t>190607334919</t>
  </si>
  <si>
    <t>Tommy Hilfiger Plus Size Cotton V-Neck T-Shir Bridal Rose 1X</t>
  </si>
  <si>
    <t>195105793961</t>
  </si>
  <si>
    <t>Champion Logo Cropped T-Shirt Chalk White S</t>
  </si>
  <si>
    <t>194164680304</t>
  </si>
  <si>
    <t>Champion Logo Cropped T-Shirt Melted Butter Yellow XS</t>
  </si>
  <si>
    <t>77478917444</t>
  </si>
  <si>
    <t>W5925586540</t>
  </si>
  <si>
    <t>Champion Crewneck Sleeveless Top Black M</t>
  </si>
  <si>
    <t>77478981636</t>
  </si>
  <si>
    <t>Champion Womens Cropped Graphic-Print White L</t>
  </si>
  <si>
    <t>77478966497</t>
  </si>
  <si>
    <t>Champion Crewneck Sleeveless Top Black L</t>
  </si>
  <si>
    <t>77478981643</t>
  </si>
  <si>
    <t>Champion Logo Cropped T-Shirt Chalk White XS</t>
  </si>
  <si>
    <t>194164680298</t>
  </si>
  <si>
    <t>719CSB048</t>
  </si>
  <si>
    <t>Royalty by Maluma T-Shirt Bodysuit, Created for Black XL</t>
  </si>
  <si>
    <t>190917342031</t>
  </si>
  <si>
    <t>RSD1380</t>
  </si>
  <si>
    <t>Splendid Ella Freeze-Dyed Shorts Earl Grey M</t>
  </si>
  <si>
    <t>193666560978</t>
  </si>
  <si>
    <t>87% RAYON/8% POLYESTER/5% SPANDEX</t>
  </si>
  <si>
    <t>81214304L1</t>
  </si>
  <si>
    <t>1.STATE 1.STATE Womens Tie Strap Cami Rich Black XSmall</t>
  </si>
  <si>
    <t>195203779270</t>
  </si>
  <si>
    <t>Splendid Vista Contrast-Stitched Croppe Earl Grey M</t>
  </si>
  <si>
    <t>193666561722</t>
  </si>
  <si>
    <t>X17TM31F</t>
  </si>
  <si>
    <t>Calvin Klein Plus Size Geometric V-Neck Blo Blush Multi 3X</t>
  </si>
  <si>
    <t>195841736833</t>
  </si>
  <si>
    <t>Champion Active Tie-Front T-Shirt Beloved Orchid M</t>
  </si>
  <si>
    <t>77478984514</t>
  </si>
  <si>
    <t>Champion Active Tie-Front T-Shirt Beloved Orchid XS</t>
  </si>
  <si>
    <t>77478984491</t>
  </si>
  <si>
    <t>Tommy Jeans Cotton Multi-Color Linear Logo Bright White XL</t>
  </si>
  <si>
    <t>195105699874</t>
  </si>
  <si>
    <t>Tommy Jeans Fused Logo Bandeau Top Rouge Multi L</t>
  </si>
  <si>
    <t>195105699492</t>
  </si>
  <si>
    <t>Kingston Grey Trendy Plus Size Twist-Front F Red 3X</t>
  </si>
  <si>
    <t>708008678862</t>
  </si>
  <si>
    <t>Riley Rae Ruffled Off-the-Shoulder Top Ultra White XL</t>
  </si>
  <si>
    <t>195203685168</t>
  </si>
  <si>
    <t>Tommy Hilfiger Slim-Fit Logo T-Shirt White Stone Heather S</t>
  </si>
  <si>
    <t>195105828878</t>
  </si>
  <si>
    <t>Tommy Hilfiger Off-The-Shoulder T-Shirt Deep Blue White XS</t>
  </si>
  <si>
    <t>190607180059</t>
  </si>
  <si>
    <t>TP10656T</t>
  </si>
  <si>
    <t>Tommy Hilfiger Waffle-Knit T-Shirt Deep Blue XS</t>
  </si>
  <si>
    <t>195105780541</t>
  </si>
  <si>
    <t>Tommy Hilfiger Off-The-Shoulder T-Shirt Deep Blue White XL</t>
  </si>
  <si>
    <t>190607180011</t>
  </si>
  <si>
    <t>J0DH0242</t>
  </si>
  <si>
    <t>Tommy Hilfiger Zip Polo Shirt Sky Captain L</t>
  </si>
  <si>
    <t>190607279906</t>
  </si>
  <si>
    <t>W81I62R1KP3</t>
  </si>
  <si>
    <t>GUESS Bling Logo T-Shirt Brilliant White L</t>
  </si>
  <si>
    <t>191821452328</t>
  </si>
  <si>
    <t>GUESS Logo Baby T-Shirt True White XL</t>
  </si>
  <si>
    <t>195124091178</t>
  </si>
  <si>
    <t>W1YP49K1811</t>
  </si>
  <si>
    <t>GUESS Olympia Rhinestone Logo Tank T Pure White XL</t>
  </si>
  <si>
    <t>7620207287726</t>
  </si>
  <si>
    <t>Champion Womens Racerback Logo Tank To Deep Forte Blue L</t>
  </si>
  <si>
    <t>77478969375</t>
  </si>
  <si>
    <t>Champion Semi-Sheer Racerback Tank Top White XXL</t>
  </si>
  <si>
    <t>77478992137</t>
  </si>
  <si>
    <t>GF937Y07459</t>
  </si>
  <si>
    <t>Champion Powerblend Logo Joggers Light Pink XL</t>
  </si>
  <si>
    <t>194164599811</t>
  </si>
  <si>
    <t>MGKT3030</t>
  </si>
  <si>
    <t>Madden Girl Juniors Sequin-Patch Lettuce- OYSTER MUS XS</t>
  </si>
  <si>
    <t>193290885980</t>
  </si>
  <si>
    <t>1119MS298</t>
  </si>
  <si>
    <t>Royalty by Maluma Straight-Neck Sweater Bralette Black S</t>
  </si>
  <si>
    <t>190917344370</t>
  </si>
  <si>
    <t>CeCe Puff-Sleeve Top Magenta Glow S</t>
  </si>
  <si>
    <t>193768673514</t>
  </si>
  <si>
    <t>1.STATE 1.STATE Keyhole Tank Top Soft Ecru Large</t>
  </si>
  <si>
    <t>194288231482</t>
  </si>
  <si>
    <t>1.STATE Peplum Tank Soft Ecru M</t>
  </si>
  <si>
    <t>195203675190</t>
  </si>
  <si>
    <t>Tommy Jeans Cotton Logo-Print T-Shirt Bright White XL</t>
  </si>
  <si>
    <t>195105751480</t>
  </si>
  <si>
    <t>MGDR1021A</t>
  </si>
  <si>
    <t>Madden Girl Juniors Drawstring-Hem Dress Burnt Olive XS</t>
  </si>
  <si>
    <t>193290739092</t>
  </si>
  <si>
    <t>GUESS Alma Seamless Bike Shorts Clean Fatigue Melange XSS</t>
  </si>
  <si>
    <t>7620207505783</t>
  </si>
  <si>
    <t>W1GI91R9TD2</t>
  </si>
  <si>
    <t>GUESS GUESS Covergirl Graphic T-Shir Pure White S</t>
  </si>
  <si>
    <t>195124155788</t>
  </si>
  <si>
    <t>O1GA44KABR0</t>
  </si>
  <si>
    <t>GUESS Active Sports Bra Top LILAC CREAM M</t>
  </si>
  <si>
    <t>7618483396898</t>
  </si>
  <si>
    <t>W0GI62R9I50</t>
  </si>
  <si>
    <t>GUESS V-Neck Button Top Bleached Blue XS</t>
  </si>
  <si>
    <t>195124086174</t>
  </si>
  <si>
    <t>W1YP06K49A5</t>
  </si>
  <si>
    <t>GUESS Gwen Cutout Top Tie Dye Zebra Print Blue S</t>
  </si>
  <si>
    <t>195124340511</t>
  </si>
  <si>
    <t>M6031</t>
  </si>
  <si>
    <t>Champion Womens Soft Touch Boy Shorts Black Heather XS</t>
  </si>
  <si>
    <t>77478974171</t>
  </si>
  <si>
    <t>Champion Womens Soft Touch Boy Shorts Enchanted Lilac Heather S</t>
  </si>
  <si>
    <t>77478974843</t>
  </si>
  <si>
    <t>M5921</t>
  </si>
  <si>
    <t>Champion Campus Printed Shorts White XXL</t>
  </si>
  <si>
    <t>77478968385</t>
  </si>
  <si>
    <t>Champion Campus Printed Shorts White L</t>
  </si>
  <si>
    <t>77478968361</t>
  </si>
  <si>
    <t>Champion Campus Printed Shorts White XL</t>
  </si>
  <si>
    <t>77478968378</t>
  </si>
  <si>
    <t>Splendid Jada Thermal Top Earl Grey M</t>
  </si>
  <si>
    <t>193666561975</t>
  </si>
  <si>
    <t>T1AH0CAI</t>
  </si>
  <si>
    <t>Tommy Jeans Ribbed Thong Bodysuit Bright White XL</t>
  </si>
  <si>
    <t>195105798997</t>
  </si>
  <si>
    <t>MGDR1017A</t>
  </si>
  <si>
    <t>Madden Girl Juniors Printed Ruffled Sleev Indigo XL</t>
  </si>
  <si>
    <t>193290688598</t>
  </si>
  <si>
    <t>1.STATE V-Neck Coated-Sleeve Top Rich Black L</t>
  </si>
  <si>
    <t>195203318899</t>
  </si>
  <si>
    <t>Champion Womens Printed Crop Top Organic Floral Black S</t>
  </si>
  <si>
    <t>77478982466</t>
  </si>
  <si>
    <t>Champion Womens Printed Crop Top Organic Floral Black M</t>
  </si>
  <si>
    <t>77478982473</t>
  </si>
  <si>
    <t>TP03973X</t>
  </si>
  <si>
    <t>Tommy Hilfiger Plus Size Ombre Logo T-Shirt White Stone Heather 2X</t>
  </si>
  <si>
    <t>195105677469</t>
  </si>
  <si>
    <t>Tommy Hilfiger Plus Size Ombre Logo T-Shirt White Stone Heather 3X</t>
  </si>
  <si>
    <t>195105677452</t>
  </si>
  <si>
    <t>J0DM6532</t>
  </si>
  <si>
    <t>Tommy Hilfiger Cotton Striped Sleeveless Shir Samir Stripe- Rose Multi XS</t>
  </si>
  <si>
    <t>190607277216</t>
  </si>
  <si>
    <t>TP18362Z</t>
  </si>
  <si>
    <t>Tommy Hilfiger Womens Hooded Bodycon Dress White Stone Heather M</t>
  </si>
  <si>
    <t>195105615133</t>
  </si>
  <si>
    <t>TP18333Z</t>
  </si>
  <si>
    <t>Tommy Hilfiger Cutout OmbreTank Dress Deep BlueWhite Combo M</t>
  </si>
  <si>
    <t>195105781302</t>
  </si>
  <si>
    <t>Tommy Hilfiger Plus Size Hooded Logo-Print T- Blue 2X</t>
  </si>
  <si>
    <t>190607169221</t>
  </si>
  <si>
    <t>Tommy Hilfiger Plus Size Ombre Logo T-Shirt White Stone Heather 1X</t>
  </si>
  <si>
    <t>195105677476</t>
  </si>
  <si>
    <t>COTTON</t>
  </si>
  <si>
    <t>J0XS0168</t>
  </si>
  <si>
    <t>Tommy Hilfiger Ivy Cotton Cable Sweater Black S</t>
  </si>
  <si>
    <t>190607122318</t>
  </si>
  <si>
    <t>Riley Rae Shelby Gingham Pleated Shorts Legacy Pink 12</t>
  </si>
  <si>
    <t>195203522159</t>
  </si>
  <si>
    <t>Riley Rae Tropical-Print Smocked Top Ruby Blush XS</t>
  </si>
  <si>
    <t>195203796529</t>
  </si>
  <si>
    <t>W1DHW070</t>
  </si>
  <si>
    <t>Calvin Klein Plus Size Logo T-Shirt Soft White 2X</t>
  </si>
  <si>
    <t>195046058563</t>
  </si>
  <si>
    <t>1</t>
  </si>
  <si>
    <t>J6045SD</t>
  </si>
  <si>
    <t>Dickies Button-Fly Tie-Dye Cuffed Shor Navy White 1</t>
  </si>
  <si>
    <t>792831296102</t>
  </si>
  <si>
    <t>MGDR1016A</t>
  </si>
  <si>
    <t>Madden Girl Front-Cutout Bodycon Dress Rose Tan L</t>
  </si>
  <si>
    <t>193290695992</t>
  </si>
  <si>
    <t>GUESS Avril Tank Top Touch Of Mauve XS</t>
  </si>
  <si>
    <t>7618483940817</t>
  </si>
  <si>
    <t>W1GP38R49A9</t>
  </si>
  <si>
    <t>GUESS Jada Off-Shoulder Top SUNSET PAISLEY PRINT XS</t>
  </si>
  <si>
    <t>195124169877</t>
  </si>
  <si>
    <t>W5923G586788</t>
  </si>
  <si>
    <t>Champion Womens Celestial Fleece Hoodi Black XS</t>
  </si>
  <si>
    <t>194959232732</t>
  </si>
  <si>
    <t>CeCe Tiered T-Shirt Blossom M</t>
  </si>
  <si>
    <t>195203881508</t>
  </si>
  <si>
    <t>CeCe Serene Printed Puff-Sleeve Top Floral Print S</t>
  </si>
  <si>
    <t>195203646756</t>
  </si>
  <si>
    <t>Anne Klein Denim and Sport Womens Marleigh Short Sleeve NYC White XLarge</t>
  </si>
  <si>
    <t>29023315786</t>
  </si>
  <si>
    <t>Riley Rae Seersucker Paperbag Shorts Ultra White S</t>
  </si>
  <si>
    <t>195203522401</t>
  </si>
  <si>
    <t>COTTON/RAYON/SPANDEX</t>
  </si>
  <si>
    <t>J9BK0389</t>
  </si>
  <si>
    <t>Tommy Hilfiger Madison Skinny Ankle Jeans Khaki 14</t>
  </si>
  <si>
    <t>192114470333</t>
  </si>
  <si>
    <t>GUESS Lace-Up Leggings Soft Mint S</t>
  </si>
  <si>
    <t>7618483590784</t>
  </si>
  <si>
    <t>BAM by Betsy Adam Tank Top with Attached Mask Heather Grey M</t>
  </si>
  <si>
    <t>195170020573</t>
  </si>
  <si>
    <t>Champion Cotton Logo T-Shirt White S</t>
  </si>
  <si>
    <t>77478986204</t>
  </si>
  <si>
    <t>Tommy Jeans Chambray Drawstring Shorts Light Wash XL</t>
  </si>
  <si>
    <t>195105762974</t>
  </si>
  <si>
    <t>GUESS Sydney Lace-Up Sleeveless Swea Light Heather Grey Multi M</t>
  </si>
  <si>
    <t>195124307392</t>
  </si>
  <si>
    <t>GUESS Lace-Up Leggings Skyline Light Blue XL</t>
  </si>
  <si>
    <t>7618483938951</t>
  </si>
  <si>
    <t>GUESS Lace-Up Active Sports Bra Skyline Light Blue L</t>
  </si>
  <si>
    <t>7618483938791</t>
  </si>
  <si>
    <t>GUESS Lace-Up Leggings Skyline Light Blue L</t>
  </si>
  <si>
    <t>7618483938944</t>
  </si>
  <si>
    <t>DKNY Elastic Strap Tank Top Sunset XXS</t>
  </si>
  <si>
    <t>795730486155</t>
  </si>
  <si>
    <t>Champion Powerblend Applique Hoodie Oatmeal Heather M</t>
  </si>
  <si>
    <t>194164721779</t>
  </si>
  <si>
    <t>T0KH0BCD</t>
  </si>
  <si>
    <t>Tommy Jeans Colorblocked Hoodie Scarlet Multi L</t>
  </si>
  <si>
    <t>195105849293</t>
  </si>
  <si>
    <t>H15TY17A</t>
  </si>
  <si>
    <t>Tommy Hilfiger Epaulet-Trim Top Menthe S</t>
  </si>
  <si>
    <t>195105649138</t>
  </si>
  <si>
    <t>Jessica Simpson Kiss Me Ankle Skinny Jeans Olive 29</t>
  </si>
  <si>
    <t>8867345104</t>
  </si>
  <si>
    <t>Tommy Hilfiger Logo Graphic Full-Length Leggi Black S</t>
  </si>
  <si>
    <t>195105829509</t>
  </si>
  <si>
    <t>Tommy Hilfiger Womens Striped Colorblocked D Fuchsia Pink S</t>
  </si>
  <si>
    <t>195105779316</t>
  </si>
  <si>
    <t>Tommy Hilfiger Plus Size Boatneck Ruffle Hem Bright White 2X</t>
  </si>
  <si>
    <t>192114344191</t>
  </si>
  <si>
    <t>Tommy Hilfiger Womens Star-Print Cropped Leg Black L</t>
  </si>
  <si>
    <t>190607159635</t>
  </si>
  <si>
    <t>Tommy Hilfiger Plus Size Colorblocked Side-St Navy 0X</t>
  </si>
  <si>
    <t>195105596937</t>
  </si>
  <si>
    <t>J0SW3238</t>
  </si>
  <si>
    <t>Tommy Hilfiger Gingham Shorts Ballerina Pink Multi 18</t>
  </si>
  <si>
    <t>190607365388</t>
  </si>
  <si>
    <t>Tommy Hilfiger Womens Ombre Logo Sweatshirt Fuchsia Piank L</t>
  </si>
  <si>
    <t>195105680407</t>
  </si>
  <si>
    <t>TP00009T</t>
  </si>
  <si>
    <t>Tommy Hilfiger Womens Striped Logo Sweatshir White Stone Heather S</t>
  </si>
  <si>
    <t>195105681145</t>
  </si>
  <si>
    <t>Tommy Hilfiger Womens Ombre Logo Tank Dress Fuchsia Piank M</t>
  </si>
  <si>
    <t>195105678916</t>
  </si>
  <si>
    <t>Tommy Hilfiger Womens Capri Jogger Pants White Stone Heather M</t>
  </si>
  <si>
    <t>190607154180</t>
  </si>
  <si>
    <t>Anne Klein Anne Klein Ruffle-Neck Cotton Burnt Siena XL</t>
  </si>
  <si>
    <t>93488816959</t>
  </si>
  <si>
    <t>CeCe Ruffled-Sleeve Blouse Soft Ecru M</t>
  </si>
  <si>
    <t>720655505841</t>
  </si>
  <si>
    <t>Bar III Plus Size Scoop-Neck Tank DaylilyPink Punch 2X</t>
  </si>
  <si>
    <t>93488677451</t>
  </si>
  <si>
    <t>J0BDN447</t>
  </si>
  <si>
    <t>Tommy Hilfiger Colorblocked Striped Cotton Mi ScarletBright White L</t>
  </si>
  <si>
    <t>190607378005</t>
  </si>
  <si>
    <t>M0VKO231</t>
  </si>
  <si>
    <t>Calvin Klein Mixed-Media Leggings Black L</t>
  </si>
  <si>
    <t>195046666614</t>
  </si>
  <si>
    <t>Riley Rae Striped Midi Dress Preppy Navy XXS</t>
  </si>
  <si>
    <t>195203652351</t>
  </si>
  <si>
    <t>7</t>
  </si>
  <si>
    <t>CP20RHBD0647E</t>
  </si>
  <si>
    <t>Dickies Railroad Stripe Belted Carpent NavyWhite 7</t>
  </si>
  <si>
    <t>792831376521</t>
  </si>
  <si>
    <t>Riley Rae Striped Midi Dress Ultra White M</t>
  </si>
  <si>
    <t>195203652313</t>
  </si>
  <si>
    <t>Riley Rae Patrice Pants Legacy Pink XS</t>
  </si>
  <si>
    <t>195203525372</t>
  </si>
  <si>
    <t>Riley Rae Patrice Pants Legacy Pink XXL</t>
  </si>
  <si>
    <t>195203525426</t>
  </si>
  <si>
    <t>Champion Double Dry Cropped Leggings Black Heather XS</t>
  </si>
  <si>
    <t>77478972474</t>
  </si>
  <si>
    <t>M7490586156</t>
  </si>
  <si>
    <t>Champion Sport Ultra High-Rise Leggings Verglas S</t>
  </si>
  <si>
    <t>194164648465</t>
  </si>
  <si>
    <t>Tommy Jeans Logo Hoodie Sweatshirt Sky Captain L</t>
  </si>
  <si>
    <t>195105798478</t>
  </si>
  <si>
    <t>T1AD0BAG</t>
  </si>
  <si>
    <t>Tommy Jeans Flag Hoodie Dress Black S</t>
  </si>
  <si>
    <t>195105789797</t>
  </si>
  <si>
    <t>T1AD0BAA</t>
  </si>
  <si>
    <t>Tommy Jeans V-Neck Sweatshirt Dress Sky Captain S</t>
  </si>
  <si>
    <t>195105792032</t>
  </si>
  <si>
    <t>DKNY V-Neck Chiffon-Trim Top Flare S</t>
  </si>
  <si>
    <t>795730517323</t>
  </si>
  <si>
    <t>P1HF7KTR</t>
  </si>
  <si>
    <t>DKNY Cropped Wide-Leg Pull-On Pants Heather Grey S</t>
  </si>
  <si>
    <t>794278015131</t>
  </si>
  <si>
    <t>P1BH7INO</t>
  </si>
  <si>
    <t>DKNY Boat-Neck Tie-Front Top Green XS</t>
  </si>
  <si>
    <t>794278932650</t>
  </si>
  <si>
    <t>P1FH7F1K</t>
  </si>
  <si>
    <t>DKNY Pleated Short-Sleeve Top Black XXS</t>
  </si>
  <si>
    <t>794278574317</t>
  </si>
  <si>
    <t>DKNY DKNY Puff-Sleeve Logo Top Avenue Greybordeaux Multi XS</t>
  </si>
  <si>
    <t>794278020203</t>
  </si>
  <si>
    <t>DKNY Ruched V-Neck Top Ivory XXS</t>
  </si>
  <si>
    <t>795730483475</t>
  </si>
  <si>
    <t>Jessica Simpson Kiss Me Skinny-Leg Ankle Jeans Side Eye 31</t>
  </si>
  <si>
    <t>8868232595</t>
  </si>
  <si>
    <t>Tommy Hilfiger Colorblocked Zip-Up Hoodie True Blue Heather S</t>
  </si>
  <si>
    <t>192114012083</t>
  </si>
  <si>
    <t>GUESS Cory Ruched Crop Top Light Rum XS</t>
  </si>
  <si>
    <t>195124280022</t>
  </si>
  <si>
    <t>W0BR55R1NN3</t>
  </si>
  <si>
    <t>GUESS GUESS Halter-Neck Ribbed Sweat Sunset Orange L</t>
  </si>
  <si>
    <t>195124195647</t>
  </si>
  <si>
    <t>GUESS Cory Ruched Crop Top Light Rum L</t>
  </si>
  <si>
    <t>195124280060</t>
  </si>
  <si>
    <t>GUESS Amina Linen Corset Top Bleached Tropical Print XL</t>
  </si>
  <si>
    <t>195124293893</t>
  </si>
  <si>
    <t>GUESS Angelica Medium-Impact Sports True White A000 L</t>
  </si>
  <si>
    <t>7618483942842</t>
  </si>
  <si>
    <t>MTWIAS2320</t>
  </si>
  <si>
    <t>NYDJ Ami Tummy-Control Skinny Jeans Vanilla 12</t>
  </si>
  <si>
    <t>194477085803</t>
  </si>
  <si>
    <t>P0DAEDJM</t>
  </si>
  <si>
    <t>DKNY Sleeveless Metallic Top Metallic Silver XL</t>
  </si>
  <si>
    <t>795730534757</t>
  </si>
  <si>
    <t>Anne Klein Plus Size Dot-Print Surplice T MAGRITTE BLUENYC WHITE 2X</t>
  </si>
  <si>
    <t>93488376057</t>
  </si>
  <si>
    <t>1.STATE Wrap Midi Skirt Soft Ecru XXS</t>
  </si>
  <si>
    <t>195203670560</t>
  </si>
  <si>
    <t>CeCe Ruffled V-Neck Tie Top Magenta Gl M</t>
  </si>
  <si>
    <t>195203645049</t>
  </si>
  <si>
    <t>Vince Camuto Plus Size Bell Sleeve 1-Should New Ivory 3X</t>
  </si>
  <si>
    <t>195203760032</t>
  </si>
  <si>
    <t>UB0P7623</t>
  </si>
  <si>
    <t>DKNY Tie-Front Ankle Pants Linen White 16</t>
  </si>
  <si>
    <t>795730664720</t>
  </si>
  <si>
    <t>CLE3036H</t>
  </si>
  <si>
    <t>Calvin Klein Plus Size Straight-Leg Pants Heather Taupe 24W</t>
  </si>
  <si>
    <t>192351504310</t>
  </si>
  <si>
    <t>RAYON/METALLIC</t>
  </si>
  <si>
    <t>W93R26R24F0</t>
  </si>
  <si>
    <t>GUESS Juniors Lurex Halter Top Silver Multi L</t>
  </si>
  <si>
    <t>7624302002468</t>
  </si>
  <si>
    <t>Anne Klein Denim and Sport Womens Sailor Wide Leg Crop J Cosmos 16</t>
  </si>
  <si>
    <t>39513371574</t>
  </si>
  <si>
    <t>Emerald Sundae Trendy Plus Size Cold-Shoulder Royal 14</t>
  </si>
  <si>
    <t>887840435618</t>
  </si>
  <si>
    <t>Seven7 Shortalls Dusty Olive S</t>
  </si>
  <si>
    <t>194278195305</t>
  </si>
  <si>
    <t>Morgan Company Trendy Plus Size Off-The-Shoul Black 18W</t>
  </si>
  <si>
    <t>707762350052</t>
  </si>
  <si>
    <t>M1MAZ558</t>
  </si>
  <si>
    <t>Calvin Klein Ruffled Floral-Print Blouse BlackWhite Floral M</t>
  </si>
  <si>
    <t>195046253388</t>
  </si>
  <si>
    <t>Kasper Tie-Neck Blouse Pink Champagne L</t>
  </si>
  <si>
    <t>93488711315</t>
  </si>
  <si>
    <t>Kasper Plus Size Floral-Print Tunic T Mariner Blue Multi 3X</t>
  </si>
  <si>
    <t>93488293903</t>
  </si>
  <si>
    <t>P0ELZB20</t>
  </si>
  <si>
    <t>DKNY Tie-Waist Shorts Hemp XL</t>
  </si>
  <si>
    <t>795730485738</t>
  </si>
  <si>
    <t>P1FD0J77</t>
  </si>
  <si>
    <t>DKNY Solid Drawstring-Waist Pocket- Black M</t>
  </si>
  <si>
    <t>794278532515</t>
  </si>
  <si>
    <t>DKNY Printed Faux-Wrap Top Black Whiskey Sour Multi M</t>
  </si>
  <si>
    <t>794278012871</t>
  </si>
  <si>
    <t>COMP1027N</t>
  </si>
  <si>
    <t>Emerald Sundae Trendy Plus Size Cold-Shoulder Wine 18W</t>
  </si>
  <si>
    <t>887840460221</t>
  </si>
  <si>
    <t>H17S5313</t>
  </si>
  <si>
    <t>Tommy Hilfiger A-Line Skirt Midnight Multi 12</t>
  </si>
  <si>
    <t>195105493571</t>
  </si>
  <si>
    <t>BAM by Betsy Adam Crewneck Sweater with Built-In Magenta XS</t>
  </si>
  <si>
    <t>195170019850</t>
  </si>
  <si>
    <t>81214701L1</t>
  </si>
  <si>
    <t>1.STATE 1.STATE Split Neck T-shirt Max Rich Black M</t>
  </si>
  <si>
    <t>195203782300</t>
  </si>
  <si>
    <t>X17TG25A</t>
  </si>
  <si>
    <t>Calvin Klein Plus Size Tie-Neck Blouse Blush 2X</t>
  </si>
  <si>
    <t>195841736604</t>
  </si>
  <si>
    <t>Champion Campus Tie-Dyed French Terry H Mini Batik Check S</t>
  </si>
  <si>
    <t>77478917970</t>
  </si>
  <si>
    <t>Champion Campus Tie-Dyed French Terry H Mini Batik Check XL</t>
  </si>
  <si>
    <t>77478918007</t>
  </si>
  <si>
    <t>GUESS Charli Bermuda Sweat-Shorts Joshua Tree L</t>
  </si>
  <si>
    <t>195124308139</t>
  </si>
  <si>
    <t>W1YH21R1LU5</t>
  </si>
  <si>
    <t>GUESS Sleeveless Maisie Top Pure White L</t>
  </si>
  <si>
    <t>195124298515</t>
  </si>
  <si>
    <t>GUESS Charli Bermuda Sweat-Shorts Light Heather Grey Multi XL</t>
  </si>
  <si>
    <t>195124308245</t>
  </si>
  <si>
    <t>GUESS Charli Bermuda Sweat-Shorts Joshua Tree XL</t>
  </si>
  <si>
    <t>195124308108</t>
  </si>
  <si>
    <t>GUESS Charli Bermuda Sweat-Shorts Cream White S</t>
  </si>
  <si>
    <t>195124308009</t>
  </si>
  <si>
    <t>O1GA14K8800</t>
  </si>
  <si>
    <t>GUESS Logo Drawstring Jogger Pants Washed Out Pink XS</t>
  </si>
  <si>
    <t>7618483393927</t>
  </si>
  <si>
    <t>GUESS Charli Bermuda Sweat-Shorts Joshua Tree M</t>
  </si>
  <si>
    <t>195124308122</t>
  </si>
  <si>
    <t>GUESS Charli Bermuda Sweat-Shorts Vapor Rose XL</t>
  </si>
  <si>
    <t>195124308054</t>
  </si>
  <si>
    <t>GUESS Charli Bermuda Sweat-Shorts Light Heather Grey Multi L</t>
  </si>
  <si>
    <t>195124308214</t>
  </si>
  <si>
    <t>Kasper Crew-Neck Sheath Dress Black 10</t>
  </si>
  <si>
    <t>716357726707</t>
  </si>
  <si>
    <t>Riley Rae Drapey Gauze Tiered Dress Calm Desert 28 US 6</t>
  </si>
  <si>
    <t>195203797281</t>
  </si>
  <si>
    <t>INC International Concepts Floral Chiffon Bow-Back Dress Pink Punchivory S</t>
  </si>
  <si>
    <t>93488277200</t>
  </si>
  <si>
    <t>BAM by Betsy Adam Hoodie with Built-In Mask, Cre Lime XS</t>
  </si>
  <si>
    <t>195170018952</t>
  </si>
  <si>
    <t>BAM by Betsy Adam Hoodie with Built-In Mask, Cre Lime M</t>
  </si>
  <si>
    <t>195170018976</t>
  </si>
  <si>
    <t>BAM by Betsy Adam Hoodie with Built-In Mask, Cre Lime S</t>
  </si>
  <si>
    <t>195170018969</t>
  </si>
  <si>
    <t>M1TKG249</t>
  </si>
  <si>
    <t>Calvin Klein Stretch Cotton Twill Pants Soft White 10</t>
  </si>
  <si>
    <t>195046243389</t>
  </si>
  <si>
    <t>Calvin Klein Stretch Cotton Twill Pants Soft White 12</t>
  </si>
  <si>
    <t>195046243372</t>
  </si>
  <si>
    <t>M1TKZ249</t>
  </si>
  <si>
    <t>Calvin Klein Floral-Print Straight-Leg Pant Floral 4</t>
  </si>
  <si>
    <t>195046238958</t>
  </si>
  <si>
    <t>Anne Klein Duke Slim-Leg Pants Calypso Blue Nyc White 2</t>
  </si>
  <si>
    <t>93488298052</t>
  </si>
  <si>
    <t>CeCe Tie-Waist Wide-Leg Ankle Pants Soft Emerald XS</t>
  </si>
  <si>
    <t>195203804583</t>
  </si>
  <si>
    <t>Anne Klein Textured-Stripe Boat-Neck Top Siren Blue Nyc White M</t>
  </si>
  <si>
    <t>93488295549</t>
  </si>
  <si>
    <t>Kasper Petite Striped Skirt Mariner Blue Mutli 16P</t>
  </si>
  <si>
    <t>93488307655</t>
  </si>
  <si>
    <t>Tommy Hilfiger Slim Leg Ankle Pants Midnight Multi 8</t>
  </si>
  <si>
    <t>195105498965</t>
  </si>
  <si>
    <t>Tommy Hilfiger Slim Leg Ankle Pants Midnight Multi 2</t>
  </si>
  <si>
    <t>195105498996</t>
  </si>
  <si>
    <t>Tommy Hilfiger Slim Leg Ankle Pants Midnight Multi 4</t>
  </si>
  <si>
    <t>195105498989</t>
  </si>
  <si>
    <t>BAM108T1</t>
  </si>
  <si>
    <t>BAM by Betsy Adam Tie-Dyed Pullover Top With Att Black Cloud XS</t>
  </si>
  <si>
    <t>195170020603</t>
  </si>
  <si>
    <t>W1AK0534</t>
  </si>
  <si>
    <t>Tommy Hilfiger Plus Size Alton Cargo Pants Khaki 2X</t>
  </si>
  <si>
    <t>195105816721</t>
  </si>
  <si>
    <t>Calvin Klein Plus Size Chiffon-Sleeve Blous Soft White 0X</t>
  </si>
  <si>
    <t>194414235230</t>
  </si>
  <si>
    <t>W1GAZ516</t>
  </si>
  <si>
    <t>Calvin Klein Plus Size Ombre Chiffon-Sleev Blush Multi 3X</t>
  </si>
  <si>
    <t>195841726636</t>
  </si>
  <si>
    <t>W1AKG249</t>
  </si>
  <si>
    <t>Calvin Klein Plus Size Cotton Twill Pants Cerise 18W</t>
  </si>
  <si>
    <t>195046367962</t>
  </si>
  <si>
    <t>CeCe Floral-Print Ruched-Sleeve Top Soft Ecru XS</t>
  </si>
  <si>
    <t>193768600220</t>
  </si>
  <si>
    <t>JJ37915</t>
  </si>
  <si>
    <t>julia jordan Printed High-Low Maxi Dress IvoryBlue 14</t>
  </si>
  <si>
    <t>889648523559</t>
  </si>
  <si>
    <t>W1YD9ZZ2U00</t>
  </si>
  <si>
    <t>GUESS Agnes Sweater Skirt Grey Citadel L</t>
  </si>
  <si>
    <t>7620207155735</t>
  </si>
  <si>
    <t>W1GR08R2UJ0</t>
  </si>
  <si>
    <t>GUESS Tanya Boat-Neck Sweater CREAM WHITE XS</t>
  </si>
  <si>
    <t>195124138408</t>
  </si>
  <si>
    <t>Bar III Plus Size Wide-Leg Tie-Waist P Navywhite 18W</t>
  </si>
  <si>
    <t>93488210429</t>
  </si>
  <si>
    <t>Calvin Klein Belted Wide-Leg Cropped Pants Soft White 4</t>
  </si>
  <si>
    <t>193623065850</t>
  </si>
  <si>
    <t>P0DZZFFU</t>
  </si>
  <si>
    <t>DKNY Printed Scoop-Neck Jumpsuit Ivory Caribbean Black Multibl S</t>
  </si>
  <si>
    <t>795730552447</t>
  </si>
  <si>
    <t>Anne Klein Julie Printed Sleeveless Midi Anne BlackAnne White 4</t>
  </si>
  <si>
    <t>93488710233</t>
  </si>
  <si>
    <t>XG1PP401</t>
  </si>
  <si>
    <t>DKNY Petite Essex Plaid Ankle Pants Regatta Blue Multi 10P</t>
  </si>
  <si>
    <t>782212754031</t>
  </si>
  <si>
    <t>Calvin Klein Plus Size Slim-Fit Pants Blush 16W</t>
  </si>
  <si>
    <t>194414750641</t>
  </si>
  <si>
    <t>Calvin Klein Plus Size Slim-Fit Pants Blush 18W</t>
  </si>
  <si>
    <t>194414750634</t>
  </si>
  <si>
    <t>Le Suit Plus Size Shimmering Two-Butto Black 18W</t>
  </si>
  <si>
    <t>93488129714</t>
  </si>
  <si>
    <t>T16PL834</t>
  </si>
  <si>
    <t>Calvin Klein Tie-Waist Pleated Slim Pants, Luggage 14P</t>
  </si>
  <si>
    <t>193623038281</t>
  </si>
  <si>
    <t>Kasper Plus Size Tiered Gauze Midi Sk White 3X</t>
  </si>
  <si>
    <t>93488748922</t>
  </si>
  <si>
    <t>CeCe Tie-Front Pull-On Paperbag Sho Moonlit 10</t>
  </si>
  <si>
    <t>193768510697</t>
  </si>
  <si>
    <t>CeCe Tie-Front Pull-On Paperbag Sho Moonlit 8</t>
  </si>
  <si>
    <t>193768510680</t>
  </si>
  <si>
    <t>SHELL, LINING: POLYESTER</t>
  </si>
  <si>
    <t>16W AVER</t>
  </si>
  <si>
    <t>12343WMM</t>
  </si>
  <si>
    <t>Morgan Company Trendy Plus Size Off-The-Shoul Royal 16W</t>
  </si>
  <si>
    <t>707762087989</t>
  </si>
  <si>
    <t>S1PID-T5411M</t>
  </si>
  <si>
    <t>Eileen Fisher Organic Cotton Round-Neck Top White XL</t>
  </si>
  <si>
    <t>193481812764</t>
  </si>
  <si>
    <t>NYDJ Denim Tummy-Control Bermuda Sh Equinox Wash 18</t>
  </si>
  <si>
    <t>194477231224</t>
  </si>
  <si>
    <t>E13SA07Q</t>
  </si>
  <si>
    <t>DKNY Jeans Cable-Knit Shoulder-Detail Swe Black L</t>
  </si>
  <si>
    <t>782212789125</t>
  </si>
  <si>
    <t>E1FNKHUA</t>
  </si>
  <si>
    <t>DKNY Jeans T-Shirt-Underlay Slip Dress Whitemilitary Green Multi XXS</t>
  </si>
  <si>
    <t>794278598542</t>
  </si>
  <si>
    <t>W1YD84D3YG3</t>
  </si>
  <si>
    <t>GUESS Syria Denim Mini Skirt Walking Away 25</t>
  </si>
  <si>
    <t>7620207155483</t>
  </si>
  <si>
    <t>GUESS Syria Denim Mini Skirt Walking Away 26</t>
  </si>
  <si>
    <t>7620207155490</t>
  </si>
  <si>
    <t>GUESS Dani Lace Bodycon Dress Jet Black XS</t>
  </si>
  <si>
    <t>195124200280</t>
  </si>
  <si>
    <t>GUESS Syria Denim Mini Skirt Walking Away 24</t>
  </si>
  <si>
    <t>7620207155476</t>
  </si>
  <si>
    <t>GUESS Syria Denim Mini Skirt Walking Away 28</t>
  </si>
  <si>
    <t>7620207155513</t>
  </si>
  <si>
    <t>GUESS Juniors G-Charm Logo Sweatpant Pastel Dream M</t>
  </si>
  <si>
    <t>195124398116</t>
  </si>
  <si>
    <t>GUESS Vienna Off-The-Shoulder Smocke Pure White XS</t>
  </si>
  <si>
    <t>195124299345</t>
  </si>
  <si>
    <t>GUESS Syria Denim Mini Skirt Walking Away 29</t>
  </si>
  <si>
    <t>7620207155520</t>
  </si>
  <si>
    <t>L1BN7373</t>
  </si>
  <si>
    <t>Karl Lagerfeld Paris Karl Lagerfeld Cool Compressio Black 2</t>
  </si>
  <si>
    <t>194775761041</t>
  </si>
  <si>
    <t>INC International Concepts Chiffon Toile Midi Dress Ivory Dark Rose 6</t>
  </si>
  <si>
    <t>93488253549</t>
  </si>
  <si>
    <t>INC International Concepts Printed High-Low Dress Rose Blue Multi 4</t>
  </si>
  <si>
    <t>93488287407</t>
  </si>
  <si>
    <t>INC International Concepts Chiffon Toile Midi Dress Ivory Dark Rose 4</t>
  </si>
  <si>
    <t>93488253532</t>
  </si>
  <si>
    <t>Calvin Klein Plus Size Belted Ankle-Length Luggage 22W</t>
  </si>
  <si>
    <t>193623037291</t>
  </si>
  <si>
    <t>Sam Edelman The Riley Denim Pencil Skirt Natadola 4</t>
  </si>
  <si>
    <t>193653215324</t>
  </si>
  <si>
    <t>W0ED7864</t>
  </si>
  <si>
    <t>Calvin Klein Plus Size Chain-Hardware Jumps Black 2X</t>
  </si>
  <si>
    <t>194414236596</t>
  </si>
  <si>
    <t>VC0M2896</t>
  </si>
  <si>
    <t>Vince Camuto Belted Jumpsuit Green 12</t>
  </si>
  <si>
    <t>689886061185</t>
  </si>
  <si>
    <t>P0EB7B6Q</t>
  </si>
  <si>
    <t>DKNY Asymmetrical Floral Swing Dres Snksari XXS</t>
  </si>
  <si>
    <t>795730486223</t>
  </si>
  <si>
    <t>COTTON/LYOCELL/VISCOSE/ELASTANE</t>
  </si>
  <si>
    <t>MFOZCP2829</t>
  </si>
  <si>
    <t>NYDJ NYDJ Roll-Hem Chloe Cropped Sk Black 6</t>
  </si>
  <si>
    <t>889982963189</t>
  </si>
  <si>
    <t>MFOZCP8061</t>
  </si>
  <si>
    <t>NYDJ Chloe Tummy-Control Capris Yellow Daisy 18</t>
  </si>
  <si>
    <t>194477231552</t>
  </si>
  <si>
    <t>GUESS Allison Cutout Sweater Dress HONEYDEW GREEN MULTI XL</t>
  </si>
  <si>
    <t>195124088673</t>
  </si>
  <si>
    <t>Bar III Plus Size 34-Sleeve Blazer Blanc 3X</t>
  </si>
  <si>
    <t>93488672098</t>
  </si>
  <si>
    <t>CeCe Puff-Sleeve Cropped Denim Jack Skyline Blue L</t>
  </si>
  <si>
    <t>195203403168</t>
  </si>
  <si>
    <t>6 AV/MD/RG</t>
  </si>
  <si>
    <t>Taylor V-Neck Flutter-Sleeve Asymmetr Blush Nude 6</t>
  </si>
  <si>
    <t>194686004022</t>
  </si>
  <si>
    <t>Le Suit Single-Button Skirt Suit Bordeaux Multi 14</t>
  </si>
  <si>
    <t>93487713112</t>
  </si>
  <si>
    <t>100% POLYESTER</t>
  </si>
  <si>
    <t>P0FBEETJ</t>
  </si>
  <si>
    <t>DKNY Handkerchief-Hem Shift Dress Spring Indigo L</t>
  </si>
  <si>
    <t>795730488845</t>
  </si>
  <si>
    <t>W0YK67RD4N0</t>
  </si>
  <si>
    <t>GUESS Charlotte Off-The-Shoulder Min Pure White M</t>
  </si>
  <si>
    <t>193327680069</t>
  </si>
  <si>
    <t>Calvin Klein Tech Zip-Front Stretch Jacket Black M</t>
  </si>
  <si>
    <t>195046074723</t>
  </si>
  <si>
    <t>Calvin Klein Tech Zip-Front Stretch Jacket Black XL</t>
  </si>
  <si>
    <t>195046074709</t>
  </si>
  <si>
    <t>MMST8202</t>
  </si>
  <si>
    <t>NYDJ Relaxed Trouser Pants in Stret Moss 18</t>
  </si>
  <si>
    <t>194477222994</t>
  </si>
  <si>
    <t>Kasper Shawl-Collar Houndstooth Jacqu Sunburst Multi 16</t>
  </si>
  <si>
    <t>93488087342</t>
  </si>
  <si>
    <t>21F2SK01</t>
  </si>
  <si>
    <t>ELEVEN PARIS Snake-Embossed Faux-Leather Sk Ochre Snake S</t>
  </si>
  <si>
    <t>829468955031</t>
  </si>
  <si>
    <t>T1AK2IHZ</t>
  </si>
  <si>
    <t>Tommy Jeans Logo Denim Overalls Boundary 25</t>
  </si>
  <si>
    <t>195105789995</t>
  </si>
  <si>
    <t>Tommy Jeans Logo Denim Overalls Boundary 24</t>
  </si>
  <si>
    <t>190607354764</t>
  </si>
  <si>
    <t>P0FC6B41</t>
  </si>
  <si>
    <t>DKNY Printed Drawstring-Hem Jacket Ivory Herb Multi L</t>
  </si>
  <si>
    <t>795730481594</t>
  </si>
  <si>
    <t>TOMMY BAHAMA GROUP INC</t>
  </si>
  <si>
    <t>MB BT TLD SPR</t>
  </si>
  <si>
    <t>SW320802</t>
  </si>
  <si>
    <t>Tommy Bahama Tommy Bahama 34 Sleeve Top Light Sky L</t>
  </si>
  <si>
    <t>755633606500</t>
  </si>
  <si>
    <t>RM1A570</t>
  </si>
  <si>
    <t>Splendid Splendid Tie-Dye Shorts Multi S</t>
  </si>
  <si>
    <t>193666591859</t>
  </si>
  <si>
    <t>H18J5798</t>
  </si>
  <si>
    <t>Tommy Hilfiger One Button Blazer Thyme 14</t>
  </si>
  <si>
    <t>195105506240</t>
  </si>
  <si>
    <t>H06J3343</t>
  </si>
  <si>
    <t>Tommy Hilfiger Zip-Front Blazer Light Pink 6</t>
  </si>
  <si>
    <t>190607139156</t>
  </si>
  <si>
    <t>XC0JS234</t>
  </si>
  <si>
    <t>DKNY Petite Striped Single-Button B Linen Whiteclassic Navy 20P</t>
  </si>
  <si>
    <t>795730658033</t>
  </si>
  <si>
    <t>W1YK0XWD8G0</t>
  </si>
  <si>
    <t>GUESS Agata Printed Shirtdress Small Dots Ice White Combo S</t>
  </si>
  <si>
    <t>7620207164058</t>
  </si>
  <si>
    <t>EGG4IT5231</t>
  </si>
  <si>
    <t>Sam Edelman The Riley Denim Cut-Hem Pencil Ithaca 0</t>
  </si>
  <si>
    <t>193653395903</t>
  </si>
  <si>
    <t>X0JJK351</t>
  </si>
  <si>
    <t>Calvin Klein Plus Size Belted Cardigan Blush 3X</t>
  </si>
  <si>
    <t>195046435982</t>
  </si>
  <si>
    <t>Calvin Klein Petite Plaid Blazer Charcoal Multi 6P</t>
  </si>
  <si>
    <t>195841696441</t>
  </si>
  <si>
    <t>Calvin Klein Plus Size Open-Front Pleated-C Klein Blue 18W</t>
  </si>
  <si>
    <t>195841695048</t>
  </si>
  <si>
    <t>Sam Edelman The Riley Cotton Asymmetrical Quartz 2</t>
  </si>
  <si>
    <t>193653307968</t>
  </si>
  <si>
    <t>Vince Camuto Cutout-Back Jumpsuit Cobalt 12</t>
  </si>
  <si>
    <t>689886083873</t>
  </si>
  <si>
    <t>Vince Camuto Floral-Print Pleated Dress Yellow Multi 8</t>
  </si>
  <si>
    <t>689886088663</t>
  </si>
  <si>
    <t>Le Suit Petite Houndstooth Skirt Suit Vanilla Iceblack 14P</t>
  </si>
  <si>
    <t>93488558828</t>
  </si>
  <si>
    <t>Weekend Max Mara Solid Crewneck T-Shirt Bianco 2XL</t>
  </si>
  <si>
    <t>8051312441977</t>
  </si>
  <si>
    <t>Kasper Plus Size Faux-Double-Breasted Lily White 22W</t>
  </si>
  <si>
    <t>93488085287</t>
  </si>
  <si>
    <t>JJ37838</t>
  </si>
  <si>
    <t>julia jordan Pleated Chiffon Midi Dress Black Multi 16</t>
  </si>
  <si>
    <t>889648548682</t>
  </si>
  <si>
    <t>X18JR196</t>
  </si>
  <si>
    <t>Calvin Klein Plus Size Plaid Blazer Charcoal Multi 22W</t>
  </si>
  <si>
    <t>195841694966</t>
  </si>
  <si>
    <t>SS2102</t>
  </si>
  <si>
    <t>LNA Calvin One-Shoulder Bodysuit Greenish S</t>
  </si>
  <si>
    <t>840201212761</t>
  </si>
  <si>
    <t>City Studios Trendy Plus Size Ombre Rainbo Ivory Combo 22W</t>
  </si>
  <si>
    <t>708008687376</t>
  </si>
  <si>
    <t>City Studios Trendy Plus Size Ombre Rainbo Ivory Combo 14W</t>
  </si>
  <si>
    <t>708008687338</t>
  </si>
  <si>
    <t>HR0M3349</t>
  </si>
  <si>
    <t>HARPER ROSE Colorblocked Jumpsuit BlackWhite 16</t>
  </si>
  <si>
    <t>689886063639</t>
  </si>
  <si>
    <t>TSMS1WJ410</t>
  </si>
  <si>
    <t>Tahari ASL Milano Twill Blazer Shocking Pink 6</t>
  </si>
  <si>
    <t>663309971893</t>
  </si>
  <si>
    <t>7G025489</t>
  </si>
  <si>
    <t>JEN7 Tulip Hem Skinny Jeans Capistrano 4</t>
  </si>
  <si>
    <t>190392935674</t>
  </si>
  <si>
    <t>JEN7 Tulip Hem Skinny Jeans Capistrano 12</t>
  </si>
  <si>
    <t>190392935711</t>
  </si>
  <si>
    <t>JEN7 Tulip Hem Skinny Jeans Capistrano 8</t>
  </si>
  <si>
    <t>190392935698</t>
  </si>
  <si>
    <t>S1FTJ-T2674M</t>
  </si>
  <si>
    <t>Eileen Fisher Swing Tunic Top Jewel L</t>
  </si>
  <si>
    <t>193481944779</t>
  </si>
  <si>
    <t>Eileen Fisher Swing Tunic Top Jewel M</t>
  </si>
  <si>
    <t>193481944762</t>
  </si>
  <si>
    <t>Eileen Fisher Swing Tunic Top Jewel S</t>
  </si>
  <si>
    <t>193481944755</t>
  </si>
  <si>
    <t>Eileen Fisher Swing Tunic Top Jewel XL</t>
  </si>
  <si>
    <t>193481944786</t>
  </si>
  <si>
    <t>Eileen Fisher Swing Tunic Top Jewel XS</t>
  </si>
  <si>
    <t>193481944748</t>
  </si>
  <si>
    <t>70% VISCOSE/30% LINEN</t>
  </si>
  <si>
    <t>RS1C570</t>
  </si>
  <si>
    <t>Splendid Splendid Printed Drawstring Sh Peach Multi S</t>
  </si>
  <si>
    <t>193666504903</t>
  </si>
  <si>
    <t>Splendid Splendid Printed Drawstring Sh Peach Multi M</t>
  </si>
  <si>
    <t>193666504897</t>
  </si>
  <si>
    <t>Splendid Splendid Colorblocked Sweater Sky Multi L</t>
  </si>
  <si>
    <t>193666505085</t>
  </si>
  <si>
    <t>SQUARE 36</t>
  </si>
  <si>
    <t>FF3001</t>
  </si>
  <si>
    <t>Lacoste Bermuda Shorts Cratere 4</t>
  </si>
  <si>
    <t>194951879027</t>
  </si>
  <si>
    <t>Speechless Trendy Plus Size Glitter Gown Silver 20W</t>
  </si>
  <si>
    <t>652874202617</t>
  </si>
  <si>
    <t>L1DB6996</t>
  </si>
  <si>
    <t>Karl Lagerfeld Paris Karl Lagerfeld Star-Print Ruff BlackSoft White 2</t>
  </si>
  <si>
    <t>194775684739</t>
  </si>
  <si>
    <t>Splendid Splendid Tie-Dye Hoodie Peach Mult M</t>
  </si>
  <si>
    <t>193666505498</t>
  </si>
  <si>
    <t>MADE IN TURKEY</t>
  </si>
  <si>
    <t>71NBC</t>
  </si>
  <si>
    <t>French Connection Rika Cotton Denim Shirtdress Ecru 8</t>
  </si>
  <si>
    <t>192942481594</t>
  </si>
  <si>
    <t>RS1A030</t>
  </si>
  <si>
    <t>Splendid Sun-Wash Jogger Pants Pink M</t>
  </si>
  <si>
    <t>193666481242</t>
  </si>
  <si>
    <t>J0XJH840</t>
  </si>
  <si>
    <t>Tommy Hilfiger Tommy Hilfiger Bandana-Print P Sky Captain Multi XL</t>
  </si>
  <si>
    <t>190607172955</t>
  </si>
  <si>
    <t>RM1K770</t>
  </si>
  <si>
    <t>Splendid Juniors Burst Tie-Dyed Hoodie Vienna Sun S</t>
  </si>
  <si>
    <t>193666654745</t>
  </si>
  <si>
    <t>Splendid Juniors Burst Tie-Dyed Hoodie Vienna Sun M</t>
  </si>
  <si>
    <t>193666654738</t>
  </si>
  <si>
    <t>7 For All Mankind Monroe Cutoff Denim Shorts Eclipse Black 29</t>
  </si>
  <si>
    <t>190392925040</t>
  </si>
  <si>
    <t>78RBK</t>
  </si>
  <si>
    <t>French Connection Natalya Chevron Quarter-Zip Sw Peach Nude M</t>
  </si>
  <si>
    <t>192942946246</t>
  </si>
  <si>
    <t>DL1961 PREMIUM DENIM INC</t>
  </si>
  <si>
    <t>27X37.5R/M</t>
  </si>
  <si>
    <t>DL 1961 Florence Instasculpt Orwell Wa Dark Blue 27</t>
  </si>
  <si>
    <t>888230012716</t>
  </si>
  <si>
    <t>7U711066</t>
  </si>
  <si>
    <t>7 For All Mankind Monroe Cotton Cutoff Denim Sho Pisces Blue Rigid 25</t>
  </si>
  <si>
    <t>190392926016</t>
  </si>
  <si>
    <t>S1RII-P4510P</t>
  </si>
  <si>
    <t>Eileen Fisher Ankle-Length Straight-Leg Pant Black PL</t>
  </si>
  <si>
    <t>193481746830</t>
  </si>
  <si>
    <t>S1RIJ-P4587P</t>
  </si>
  <si>
    <t>Eileen Fisher Petite Organic Linen Lantern A Seaweed PS</t>
  </si>
  <si>
    <t>193481696074</t>
  </si>
  <si>
    <t>7U037005</t>
  </si>
  <si>
    <t>7 For All Mankind Released Hem Skinny Ankle Jean Alta Blue 30</t>
  </si>
  <si>
    <t>190392944836</t>
  </si>
  <si>
    <t>LDR0400WH71</t>
  </si>
  <si>
    <t>Barbour Striped Sleeveless Dress Cloud 14</t>
  </si>
  <si>
    <t>194972201005</t>
  </si>
  <si>
    <t>Marella Liuto Linen Drawstring Sleevel Colonial 10</t>
  </si>
  <si>
    <t>8056232666998</t>
  </si>
  <si>
    <t>Eileen Fisher Anne Klein Barbour Black PS</t>
  </si>
  <si>
    <t>193481732314</t>
  </si>
  <si>
    <t>Eileen Fisher Anne Klein Barbour Black PP</t>
  </si>
  <si>
    <t>193481732307</t>
  </si>
  <si>
    <t>S1MNZ-K5182M</t>
  </si>
  <si>
    <t>Eileen Fisher Long Organic Linen Organic C White M</t>
  </si>
  <si>
    <t>193481674010</t>
  </si>
  <si>
    <t>S1OLA-D4707M</t>
  </si>
  <si>
    <t>Eileen Fisher Linen Round Neck Dress Black XS</t>
  </si>
  <si>
    <t>193481617956</t>
  </si>
  <si>
    <t>F0TLM-T5388M</t>
  </si>
  <si>
    <t>Eileen Fisher Mock-Neck Tunic Charcoal XXS</t>
  </si>
  <si>
    <t>193481496810</t>
  </si>
  <si>
    <t>Marella Marella Striped Crewneck Sweat Lilac S</t>
  </si>
  <si>
    <t>8056232481041</t>
  </si>
  <si>
    <t>D11WPUF</t>
  </si>
  <si>
    <t>Dauntless Puffer Jacket Black M</t>
  </si>
  <si>
    <t>850027946047</t>
  </si>
  <si>
    <t>Weekend Max Mara Aligi Printed Straight-Leg Pan Avorio L</t>
  </si>
  <si>
    <t>8051312352297</t>
  </si>
  <si>
    <t>Weekend Max Mara Mia Midi Dress Rosa 6</t>
  </si>
  <si>
    <t>8051312174455</t>
  </si>
  <si>
    <t>Marella Scarf-Print Crepe Dress Black 4</t>
  </si>
  <si>
    <t>8056232963882</t>
  </si>
  <si>
    <t>Champion Womens Cotton Cropped T-Shirt Deep Forte Blue XS</t>
  </si>
  <si>
    <t>77478993875</t>
  </si>
  <si>
    <t>Tommy Jeans Short Sleeve V-Neck Bodysuit True Navy XXS</t>
  </si>
  <si>
    <t>195105759400</t>
  </si>
  <si>
    <t>TP03806X</t>
  </si>
  <si>
    <t>Tommy Hilfiger Plus Size Ombre T-Shirt Fuchsia PinkPetal Pink 2X</t>
  </si>
  <si>
    <t>190607387809</t>
  </si>
  <si>
    <t>TP03871X</t>
  </si>
  <si>
    <t>Tommy Hilfiger Plus Size Logo-Tab T-Shirt White Stone Heather 3X</t>
  </si>
  <si>
    <t>190607387830</t>
  </si>
  <si>
    <t>T1CWHFGF</t>
  </si>
  <si>
    <t>Tommy Jeans Bandana-Print Shorts Sky Captain Multi M</t>
  </si>
  <si>
    <t>195105763100</t>
  </si>
  <si>
    <t>TP19084P</t>
  </si>
  <si>
    <t>JOGGER W RIB CUFTP1</t>
  </si>
  <si>
    <t>195105745397</t>
  </si>
  <si>
    <t>802892122668</t>
  </si>
  <si>
    <t>Tommy Jeans Mid-Rise Tie-Dyed Skinny Jeans Pink 26</t>
  </si>
  <si>
    <t>190607207275</t>
  </si>
  <si>
    <t>Tommy Jeans Mid-Rise Tie-Dyed Skinny Jeans Pink 24</t>
  </si>
  <si>
    <t>190607207299</t>
  </si>
  <si>
    <t>Tommy Jeans Patchwork Slip Dress Sky Captain Multi XXS</t>
  </si>
  <si>
    <t>195105792759</t>
  </si>
  <si>
    <t>190607387946</t>
  </si>
  <si>
    <t>190607387977</t>
  </si>
  <si>
    <t>LD0CZCM7</t>
  </si>
  <si>
    <t>LINEN FAUX WRAP DRESS</t>
  </si>
  <si>
    <t>190169087926</t>
  </si>
  <si>
    <t>Champion Womens Get Happy Logo T-Shirt Yellow XS</t>
  </si>
  <si>
    <t>194959260605</t>
  </si>
  <si>
    <t>Champion Womens Get Happy Logo T-Shirt Yellow M</t>
  </si>
  <si>
    <t>194959260629</t>
  </si>
  <si>
    <t>Champion Womens Get Happy Logo T-Shirt Orange S</t>
  </si>
  <si>
    <t>194959260735</t>
  </si>
  <si>
    <t>Champion Womens Cotton Get Happy Short Pink L</t>
  </si>
  <si>
    <t>194959321498</t>
  </si>
  <si>
    <t>12WXMIL0019</t>
  </si>
  <si>
    <t>Junk Food Cotton Miller Racing-Graphic C Red XS</t>
  </si>
  <si>
    <t>194973897559</t>
  </si>
  <si>
    <t>W7RH0139</t>
  </si>
  <si>
    <t>Tommy Hilfiger Plus Size Cotton V-Neck T-Shir Navy 1X</t>
  </si>
  <si>
    <t>190607856398</t>
  </si>
  <si>
    <t>WL956549724</t>
  </si>
  <si>
    <t>Champion Cropped T-Shirt White XL</t>
  </si>
  <si>
    <t>192503190606</t>
  </si>
  <si>
    <t>T0DH0ADH</t>
  </si>
  <si>
    <t>Tommy Jeans Juniors Cropped V-Neck T-Shir Scarlet M</t>
  </si>
  <si>
    <t>190607209439</t>
  </si>
  <si>
    <t>Champion Logo Cropped T-Shirt Hush Pink L</t>
  </si>
  <si>
    <t>194164669859</t>
  </si>
  <si>
    <t>Champion Womens Get Happy Cropped T-Sh Grey XS</t>
  </si>
  <si>
    <t>194959292903</t>
  </si>
  <si>
    <t>Champion Womens Get Happy Cropped T-Sh Grey S</t>
  </si>
  <si>
    <t>194959292910</t>
  </si>
  <si>
    <t>Champion Womens Celestial Cropped T-Sh Grey M</t>
  </si>
  <si>
    <t>194959321870</t>
  </si>
  <si>
    <t>Champion Womens Celestial Cropped T-Sh Black S</t>
  </si>
  <si>
    <t>194959321740</t>
  </si>
  <si>
    <t>Champion Womens Celestial Cropped T-Sh Black XS</t>
  </si>
  <si>
    <t>194959321733</t>
  </si>
  <si>
    <t>Champion Womens Get Happy Cropped T-Sh Grey L</t>
  </si>
  <si>
    <t>194959292934</t>
  </si>
  <si>
    <t>Champion Womens Get Happy Cropped T-Sh Grey XL</t>
  </si>
  <si>
    <t>194959292941</t>
  </si>
  <si>
    <t>Champion Womens Celestial Cropped T-Sh Black M</t>
  </si>
  <si>
    <t>194959321757</t>
  </si>
  <si>
    <t>Champion Cropped Logo T-Shirt Athletic N S</t>
  </si>
  <si>
    <t>194164671050</t>
  </si>
  <si>
    <t>Champion Womens Celestial Cropped T-Sh Grey XL</t>
  </si>
  <si>
    <t>194959321894</t>
  </si>
  <si>
    <t>Champion Womens Celestial Cropped T-Sh Black L</t>
  </si>
  <si>
    <t>194959321764</t>
  </si>
  <si>
    <t>Champion Womens Celestial Cropped T-Sh Grey L</t>
  </si>
  <si>
    <t>194959321887</t>
  </si>
  <si>
    <t>Gloria Vanderbilt Gloria Vanderbilt Womens Midr Black Rinse 8</t>
  </si>
  <si>
    <t>8867856488</t>
  </si>
  <si>
    <t>Splendid Vista Contrast-Stitched Croppe White M</t>
  </si>
  <si>
    <t>193666561777</t>
  </si>
  <si>
    <t>Dickies Juniors Cotton Cropped Stripe Lotus Pink Stripe M</t>
  </si>
  <si>
    <t>792831388296</t>
  </si>
  <si>
    <t>J3097RTD0588H</t>
  </si>
  <si>
    <t>Dickies Striped Baby T-Shirt Navy White Red M</t>
  </si>
  <si>
    <t>792831302940</t>
  </si>
  <si>
    <t>TP93405X</t>
  </si>
  <si>
    <t>Tommy Hilfiger Plus Size Logo-Graphic T-Shirt Deep Fuschia 2X</t>
  </si>
  <si>
    <t>195105725610</t>
  </si>
  <si>
    <t>Champion Active Tie-Front T-Shirt White S</t>
  </si>
  <si>
    <t>77478984446</t>
  </si>
  <si>
    <t>Champion Active Tie-Front T-Shirt White XS</t>
  </si>
  <si>
    <t>77478984439</t>
  </si>
  <si>
    <t>Champion Active Tie-Front T-Shirt White XL</t>
  </si>
  <si>
    <t>77478984477</t>
  </si>
  <si>
    <t>Tommy Jeans Cotton V-Neck Logo T-Shirt Rouge XL</t>
  </si>
  <si>
    <t>195105709689</t>
  </si>
  <si>
    <t>CeCe Printed Ruffled T-Shirt Rich Black XS</t>
  </si>
  <si>
    <t>195203434629</t>
  </si>
  <si>
    <t>CeCe Printed Ruffled T-Shirt Rich Black S</t>
  </si>
  <si>
    <t>195203434636</t>
  </si>
  <si>
    <t>Riley Rae Ruffled Off-the-Shoulder Top Coral Reef M</t>
  </si>
  <si>
    <t>195203685281</t>
  </si>
  <si>
    <t>TP10637T</t>
  </si>
  <si>
    <t>Tommy Hilfiger Metallic Heart Logo T-Shirt Deep Blue XL</t>
  </si>
  <si>
    <t>195105859537</t>
  </si>
  <si>
    <t>J9JH0401</t>
  </si>
  <si>
    <t>Tommy Hilfiger Polo Shirt Chili L</t>
  </si>
  <si>
    <t>192114031688</t>
  </si>
  <si>
    <t>TP08734X</t>
  </si>
  <si>
    <t>Tommy Hilfiger Plus Size Cuffed Shorts Deep Blue 1X</t>
  </si>
  <si>
    <t>190607387618</t>
  </si>
  <si>
    <t>Tommy Hilfiger Plus Size Cuffed Shorts Deep Blue 0X</t>
  </si>
  <si>
    <t>190607387588</t>
  </si>
  <si>
    <t>Tommy Hilfiger Zip Polo Shirt Sky Captain XXL</t>
  </si>
  <si>
    <t>190607279852</t>
  </si>
  <si>
    <t>Tommy Hilfiger Strappy Logo-Band Sports Bra Deep Blue XS</t>
  </si>
  <si>
    <t>195105723999</t>
  </si>
  <si>
    <t>Tommy Hilfiger Womens Twisted Tank Top Fuchsia Piank XL</t>
  </si>
  <si>
    <t>195105680490</t>
  </si>
  <si>
    <t>J1BH0188</t>
  </si>
  <si>
    <t>Tommy Hilfiger Raglan-Sleeve Graphic Top Stone Grey Heahtersky Captain XXL</t>
  </si>
  <si>
    <t>195105735633</t>
  </si>
  <si>
    <t>Tommy Hilfiger Raglan-Sleeve Graphic Top Stone Grey Heahtersky Captain M</t>
  </si>
  <si>
    <t>195105756379</t>
  </si>
  <si>
    <t>J0DHR392</t>
  </si>
  <si>
    <t>Tommy Hilfiger Dot-Print Sleeveless Polo Pindot- Sky Captainbright Whi XXL</t>
  </si>
  <si>
    <t>190607280032</t>
  </si>
  <si>
    <t>Tommy Hilfiger Womens Terry Shorts White Stone Heather XL</t>
  </si>
  <si>
    <t>195105773314</t>
  </si>
  <si>
    <t>Riley Rae Drawstring Shorts Amber Sun M</t>
  </si>
  <si>
    <t>195203685007</t>
  </si>
  <si>
    <t>WL200586452</t>
  </si>
  <si>
    <t>Champion Ribbed-Knit Cropped T-Shirt Gfs Silver Grey XXL</t>
  </si>
  <si>
    <t>194959007415</t>
  </si>
  <si>
    <t>Riley Rae Drawstring Shorts Rich Black XL</t>
  </si>
  <si>
    <t>195203684604</t>
  </si>
  <si>
    <t>Champion Authentic Logo-Print Cutout Ra Mini Batik Check L</t>
  </si>
  <si>
    <t>77478932287</t>
  </si>
  <si>
    <t>J0DW0665</t>
  </si>
  <si>
    <t>Tommy Hilfiger Malibu Piping-Trim Shorts Bright White 6</t>
  </si>
  <si>
    <t>190607287161</t>
  </si>
  <si>
    <t>MGDR1023A</t>
  </si>
  <si>
    <t>Madden Girl Juniors Ruched Dress Black S</t>
  </si>
  <si>
    <t>193290739160</t>
  </si>
  <si>
    <t>Jessica Simpson Amelie Ruched Bodysuit Navy Blazer XS</t>
  </si>
  <si>
    <t>8868198570</t>
  </si>
  <si>
    <t>Tommy Jeans Flag Logo Graphic Sweatshirt Bright White L</t>
  </si>
  <si>
    <t>195105882832</t>
  </si>
  <si>
    <t>W1DH0292</t>
  </si>
  <si>
    <t>Tommy Hilfiger Plus Size Heart Flag T-Shirt Stone Grey Heather 3X</t>
  </si>
  <si>
    <t>195105711637</t>
  </si>
  <si>
    <t>MGSS1003A</t>
  </si>
  <si>
    <t>Madden Girl Juniors Distressed Cropped Ho Indigo XXL</t>
  </si>
  <si>
    <t>193290741538</t>
  </si>
  <si>
    <t>Splendid Jada Thermal Top Earl Grey XL</t>
  </si>
  <si>
    <t>193666561999</t>
  </si>
  <si>
    <t>T0EWHCAH</t>
  </si>
  <si>
    <t>Tommy Jeans Cotton Tie-Dyed Shorts Pink Multi M</t>
  </si>
  <si>
    <t>190607206544</t>
  </si>
  <si>
    <t>Tommy Jeans Logo-Tape Bike Shorts Sky Captain M</t>
  </si>
  <si>
    <t>195105813164</t>
  </si>
  <si>
    <t>T0EW0DBA</t>
  </si>
  <si>
    <t>Tommy Jeans Contrast-Hem Shorts Stone Grey Heather XL</t>
  </si>
  <si>
    <t>190607206575</t>
  </si>
  <si>
    <t>Madden Girl Juniors Printed Smocked Dress Black L</t>
  </si>
  <si>
    <t>193290688420</t>
  </si>
  <si>
    <t>Madden Girl Juniors Printed Smocked Dress Black M</t>
  </si>
  <si>
    <t>193290688413</t>
  </si>
  <si>
    <t>Calvin Klein Plus Size Ruched Side Tank Top Secret 3X</t>
  </si>
  <si>
    <t>195841937056</t>
  </si>
  <si>
    <t>Riley Rae Polka-Dot Ruffled-Sleeve Top Virtual Pink L</t>
  </si>
  <si>
    <t>195203335582</t>
  </si>
  <si>
    <t>T17TM42L</t>
  </si>
  <si>
    <t>Calvin Klein Petite Floral-Print Top Sand Multi PXS</t>
  </si>
  <si>
    <t>195841738264</t>
  </si>
  <si>
    <t>T18TX98A</t>
  </si>
  <si>
    <t>Calvin Klein Petite Pleated Top Cream PS</t>
  </si>
  <si>
    <t>195841695666</t>
  </si>
  <si>
    <t>Tommy Hilfiger Plus Size Logo-Print T-Shirt Fuchsia 2X</t>
  </si>
  <si>
    <t>195105728598</t>
  </si>
  <si>
    <t>TP07824P</t>
  </si>
  <si>
    <t>Tommy Hilfiger Tommy Hilfiger Washed Leggings Navy S</t>
  </si>
  <si>
    <t>190607377541</t>
  </si>
  <si>
    <t>W0YI0HK46D1</t>
  </si>
  <si>
    <t>GUESS Genny Sequin-Logo T-Shirt Blue Romance M</t>
  </si>
  <si>
    <t>7618584947906</t>
  </si>
  <si>
    <t>WL144550351</t>
  </si>
  <si>
    <t>Champion The Girlfriend Cotton Logo T-S White XL</t>
  </si>
  <si>
    <t>194164128455</t>
  </si>
  <si>
    <t>GUESS Avril Tank Top Blue Graphite Grey L</t>
  </si>
  <si>
    <t>7618483940947</t>
  </si>
  <si>
    <t>Bar III Plus Size Snake Print Camisole Ibiza Blue Combo 1X</t>
  </si>
  <si>
    <t>93488895626</t>
  </si>
  <si>
    <t>CeCe Flutter-Sleeve Lace-Trim Top Soft Ecru M</t>
  </si>
  <si>
    <t>193768634843</t>
  </si>
  <si>
    <t>1.STATE Scoop-Neck Bodysuit Rich Black M</t>
  </si>
  <si>
    <t>195203675473</t>
  </si>
  <si>
    <t>81114340A3</t>
  </si>
  <si>
    <t>1.STATE One-Shoulder Bodysuit Rich Black XL</t>
  </si>
  <si>
    <t>195203675633</t>
  </si>
  <si>
    <t>Riley Rae Cole Waffle-Knit Drawstring-Wa Light Rose S</t>
  </si>
  <si>
    <t>195203659275</t>
  </si>
  <si>
    <t>Riley Rae Seersucker Paperbag Shorts Ultra White L</t>
  </si>
  <si>
    <t>195203522425</t>
  </si>
  <si>
    <t>W1AHH257</t>
  </si>
  <si>
    <t>Tommy Hilfiger Plus Size Floral-Print Polo Sh Tompkins Park- Bright White Mu 3X</t>
  </si>
  <si>
    <t>195105794265</t>
  </si>
  <si>
    <t>Tommy Hilfiger Plus Size Floral-Print Polo Sh Tompkins Park- Bright White Mu 1X</t>
  </si>
  <si>
    <t>195105794289</t>
  </si>
  <si>
    <t>Tommy Hilfiger Striped Bermuda Shorts Thyme 6</t>
  </si>
  <si>
    <t>192114515393</t>
  </si>
  <si>
    <t>TP07870X</t>
  </si>
  <si>
    <t>Tommy Hilfiger Plus Size Varsity Panel Sweatp Deep Blue 2X</t>
  </si>
  <si>
    <t>195105729434</t>
  </si>
  <si>
    <t>Riley Rae Grace Off-The-Shoulder Top Peach Mimosa XS</t>
  </si>
  <si>
    <t>195203795195</t>
  </si>
  <si>
    <t>T1DH0BBF</t>
  </si>
  <si>
    <t>Tommy Jeans Logo Sleeve Sweatshirt Bleached Aqua L</t>
  </si>
  <si>
    <t>195105701539</t>
  </si>
  <si>
    <t>Tommy Jeans Chambray Drawstring Shorts Light Wash XS</t>
  </si>
  <si>
    <t>195105763018</t>
  </si>
  <si>
    <t>Tommy Jeans Cap-Sleeve Logo Dress Sky Captain S</t>
  </si>
  <si>
    <t>195105752104</t>
  </si>
  <si>
    <t>L1EHX874</t>
  </si>
  <si>
    <t>Karl Lagerfeld Paris Foiled Tie-Front Tank Top Silver XL</t>
  </si>
  <si>
    <t>194775673764</t>
  </si>
  <si>
    <t>Calvin Klein Plus Size Solid 34-Sleeve V-N Pearl Grey Heather 1X</t>
  </si>
  <si>
    <t>195046131617</t>
  </si>
  <si>
    <t>XD1TYE78</t>
  </si>
  <si>
    <t>DKNY Petite Printed Ruffled Sleevel Parchment Multi PL</t>
  </si>
  <si>
    <t>794278580349</t>
  </si>
  <si>
    <t>H12TM64X</t>
  </si>
  <si>
    <t>Tommy Hilfiger Printed Ruched-Shoulder Top NavyDeep Maize L</t>
  </si>
  <si>
    <t>195105722701</t>
  </si>
  <si>
    <t>Jessica Simpson Christina Printed Blouse Black XS</t>
  </si>
  <si>
    <t>8867161414</t>
  </si>
  <si>
    <t>Tommy Hilfiger Tommy Hilfiger Sport Womens F Navy XXL</t>
  </si>
  <si>
    <t>192114232832</t>
  </si>
  <si>
    <t>78QAI</t>
  </si>
  <si>
    <t>French Connection Keira Mozart Cotton Cropped Ta Summer White M</t>
  </si>
  <si>
    <t>192942825909</t>
  </si>
  <si>
    <t>W0EH0976</t>
  </si>
  <si>
    <t>Tommy Hilfiger Ruffle-Hem Top Peony 2X</t>
  </si>
  <si>
    <t>190607226795</t>
  </si>
  <si>
    <t>TP08730X</t>
  </si>
  <si>
    <t>Tommy Hilfiger Plus Size Convertible Bermuda Black 1X</t>
  </si>
  <si>
    <t>195105728239</t>
  </si>
  <si>
    <t>TP07946X</t>
  </si>
  <si>
    <t>Tommy Hilfiger Plus Size High-Rise Logo Leggi Deep Blue 2X</t>
  </si>
  <si>
    <t>195105729557</t>
  </si>
  <si>
    <t>Tommy Hilfiger Womens Capri Jogger Pants White Stone Heather L</t>
  </si>
  <si>
    <t>190607154173</t>
  </si>
  <si>
    <t>Tommy Hilfiger Ruffle-Hem Top Peony 3X</t>
  </si>
  <si>
    <t>190607226788</t>
  </si>
  <si>
    <t>Tommy Hilfiger Plus Size Colorblocked Side-St Electric Magenta 3X</t>
  </si>
  <si>
    <t>195105596913</t>
  </si>
  <si>
    <t>TP07852P</t>
  </si>
  <si>
    <t>Tommy Hilfiger Embroidered-Logo Jogger Pants Black L</t>
  </si>
  <si>
    <t>190607342211</t>
  </si>
  <si>
    <t>Tommy Hilfiger Womens Striped Colorblocked D Scarlet M</t>
  </si>
  <si>
    <t>195105779361</t>
  </si>
  <si>
    <t>TP08241Z</t>
  </si>
  <si>
    <t>Tommy Hilfiger Womens Satin Flag Dress Deep Blue M</t>
  </si>
  <si>
    <t>190607160129</t>
  </si>
  <si>
    <t>TP16384P</t>
  </si>
  <si>
    <t>Tommy Hilfiger Tommy Hilfiger Sport Heritage Pearl Gray Heather L</t>
  </si>
  <si>
    <t>195105820780</t>
  </si>
  <si>
    <t>Tommy Hilfiger Womens Striped Colorblocked D Fuchsia Pink L</t>
  </si>
  <si>
    <t>195105779293</t>
  </si>
  <si>
    <t>1119CSB217</t>
  </si>
  <si>
    <t>Royalty by Maluma French Terry Sweatshirt White S</t>
  </si>
  <si>
    <t>190917343342</t>
  </si>
  <si>
    <t>Champion Double Dry Bike Shorts Cranberry Red S</t>
  </si>
  <si>
    <t>194164658839</t>
  </si>
  <si>
    <t>1.STATE 1.STATE Cropped Knit Cut-Out T Rose Blossom XSmall</t>
  </si>
  <si>
    <t>194288232434</t>
  </si>
  <si>
    <t>1.STATE 1.STATE Cropped Knit Cut-Out T Soft Ecru XSmall</t>
  </si>
  <si>
    <t>194288232298</t>
  </si>
  <si>
    <t>3</t>
  </si>
  <si>
    <t>CP20RD</t>
  </si>
  <si>
    <t>Dickies Straight-Leg Carpenter Jeans Vintage Destruct 3</t>
  </si>
  <si>
    <t>792831398417</t>
  </si>
  <si>
    <t>UF1TR109</t>
  </si>
  <si>
    <t>DKNY Ribbed Button-Shoulder Top Stone Heather XS</t>
  </si>
  <si>
    <t>794278476208</t>
  </si>
  <si>
    <t>Vince Camuto Vince Camuto Plus Size Leopard Santorini Blue 1X</t>
  </si>
  <si>
    <t>195203763651</t>
  </si>
  <si>
    <t>Seven7 Utility Joggers Taurus L</t>
  </si>
  <si>
    <t>194278259397</t>
  </si>
  <si>
    <t>Seven7 Mixed-Media Mid-Rise Joggers Cedar Wood M</t>
  </si>
  <si>
    <t>194278258765</t>
  </si>
  <si>
    <t>Seven7 Utility Joggers Virgo L</t>
  </si>
  <si>
    <t>194278259434</t>
  </si>
  <si>
    <t>Seven7 Utility Joggers Virgo M</t>
  </si>
  <si>
    <t>194278259427</t>
  </si>
  <si>
    <t>Champion Sport Ultra High-Rise Leggings Verglas M</t>
  </si>
  <si>
    <t>194164648472</t>
  </si>
  <si>
    <t>Kasper Peplum-Hem Open-Front Cardigan Mariner Blue L</t>
  </si>
  <si>
    <t>93488308171</t>
  </si>
  <si>
    <t>W0GHN024</t>
  </si>
  <si>
    <t>Tommy Hilfiger Plus Size Woven-Hem T-Shirt Bright White 1X</t>
  </si>
  <si>
    <t>195105982341</t>
  </si>
  <si>
    <t>SHELL: PIMA COTTON</t>
  </si>
  <si>
    <t>T9STB41A</t>
  </si>
  <si>
    <t>Calvin Klein Petite Cotton T-Shirt White PXS</t>
  </si>
  <si>
    <t>193623894023</t>
  </si>
  <si>
    <t>J2057RD</t>
  </si>
  <si>
    <t>Dickies Rolled-Cuff Denim Shortall Antique S</t>
  </si>
  <si>
    <t>792831297208</t>
  </si>
  <si>
    <t>Dickies Rolled-Cuff Denim Shortall Antique XS</t>
  </si>
  <si>
    <t>792831297192</t>
  </si>
  <si>
    <t>Kancan Kancan Womens High Rise Paper Medium Blue XLarge</t>
  </si>
  <si>
    <t>840111921531</t>
  </si>
  <si>
    <t>Kasper Plus Size Pleated Keyhole Top Mariner Blue 1X</t>
  </si>
  <si>
    <t>93488308386</t>
  </si>
  <si>
    <t>J9EN2181</t>
  </si>
  <si>
    <t>Tommy Hilfiger Tommy Hilfiger Patchwork Denim Beach Wash 2</t>
  </si>
  <si>
    <t>192114336455</t>
  </si>
  <si>
    <t>Tommy Jeans Logo Hoodie Sweatshirt Stone Grey Heather S</t>
  </si>
  <si>
    <t>195105800331</t>
  </si>
  <si>
    <t>Tommy Jeans Logo Hoodie Sweatshirt Stone Grey Heather L</t>
  </si>
  <si>
    <t>195105800317</t>
  </si>
  <si>
    <t>Tommy Jeans V-Neck Sweatshirt Dress Scarlet XXS</t>
  </si>
  <si>
    <t>195105791998</t>
  </si>
  <si>
    <t>Tommy Jeans Flag Hoodie Dress Black XL</t>
  </si>
  <si>
    <t>195105789766</t>
  </si>
  <si>
    <t>T1BN2IIG</t>
  </si>
  <si>
    <t>Tommy Jeans Distressed Denim Skirt Dark Wash 27</t>
  </si>
  <si>
    <t>195105779606</t>
  </si>
  <si>
    <t>DKNY Chiffon-Trim Sleeveless Top Black L</t>
  </si>
  <si>
    <t>795730535242</t>
  </si>
  <si>
    <t>DKNY Cropped Wide-Leg Pull-On Pants Heather Grey L</t>
  </si>
  <si>
    <t>794278015117</t>
  </si>
  <si>
    <t>Tommy Hilfiger Colorblocked Zip-Up Hoodie White Stone Heather XL</t>
  </si>
  <si>
    <t>192114012113</t>
  </si>
  <si>
    <t>GUESS GUESS Halter-Neck Ribbed Sweat Sunset Orange M</t>
  </si>
  <si>
    <t>195124195630</t>
  </si>
  <si>
    <t>T17TG25A</t>
  </si>
  <si>
    <t>Calvin Klein Petite Tie-Neck Blouse Blush PL</t>
  </si>
  <si>
    <t>195841515605</t>
  </si>
  <si>
    <t>Tommy Hilfiger Plus Size Logo Terry Boyfriend Deep Blue 3X</t>
  </si>
  <si>
    <t>195105728703</t>
  </si>
  <si>
    <t>Tommy Hilfiger Plus Size Colorblocked Logo Sn Scarlet 3X</t>
  </si>
  <si>
    <t>195105725115</t>
  </si>
  <si>
    <t>Tommy Hilfiger Plus Size Logo Side-Stripe Jog BlackWhite Stone Heather 3X</t>
  </si>
  <si>
    <t>195105596821</t>
  </si>
  <si>
    <t>Tommy Hilfiger Cropped Drawstring Pants Thyme M</t>
  </si>
  <si>
    <t>190607352722</t>
  </si>
  <si>
    <t>Tommy Hilfiger Logo Hoodie Dress Black S</t>
  </si>
  <si>
    <t>195105702345</t>
  </si>
  <si>
    <t>Tommy Hilfiger Logo Hoodie Dress Black M</t>
  </si>
  <si>
    <t>195105702338</t>
  </si>
  <si>
    <t>Tommy Hilfiger Gingham-Print Cuffed Pants Ballerina Pink Multi 14</t>
  </si>
  <si>
    <t>190607366033</t>
  </si>
  <si>
    <t>Tommy Hilfiger Plus Size Gingham Button-Down Dorchester Ditsy Gingham-brida 3X</t>
  </si>
  <si>
    <t>195105764053</t>
  </si>
  <si>
    <t>Tommy Hilfiger Plus Size Logo Terry Boyfriend Fuchsia 2X</t>
  </si>
  <si>
    <t>195105728758</t>
  </si>
  <si>
    <t>Tommy Hilfiger Plus Size Star Graphic Capri P Black 0X</t>
  </si>
  <si>
    <t>190607168965</t>
  </si>
  <si>
    <t>Tommy Hilfiger Plus Size Varsity Panel Sweatp Deep Fuchsia 1X</t>
  </si>
  <si>
    <t>195105729328</t>
  </si>
  <si>
    <t>Tommy Hilfiger Plus Size Logo Terry Boyfriend Deep Blue 1X</t>
  </si>
  <si>
    <t>195105728727</t>
  </si>
  <si>
    <t>Tommy Hilfiger Plus Size Logo Side-Stripe Jog BlackWhite Stone Heather 2X</t>
  </si>
  <si>
    <t>195105596838</t>
  </si>
  <si>
    <t>TP19051X</t>
  </si>
  <si>
    <t>Tommy Hilfiger Plus Size High-Rise Curve Colo Black 0X</t>
  </si>
  <si>
    <t>195105729250</t>
  </si>
  <si>
    <t>Tommy Hilfiger Plus Size Logo Side-Stripe Jog BlackWhite Stone Heather 0X</t>
  </si>
  <si>
    <t>195105596814</t>
  </si>
  <si>
    <t>Tommy Hilfiger Plus Size Hooded T-Shirt Dress Navy 1X</t>
  </si>
  <si>
    <t>195105677551</t>
  </si>
  <si>
    <t>Tommy Hilfiger Plus Size Cornell-Trimmed Polo Pink 1X</t>
  </si>
  <si>
    <t>190607310005</t>
  </si>
  <si>
    <t>1.STATE Pull-On Crepe Jogger Pants Rich Black XXS</t>
  </si>
  <si>
    <t>195203274645</t>
  </si>
  <si>
    <t>W1DHP802</t>
  </si>
  <si>
    <t>Calvin Klein Plus Size Crochet-Trim Cotton Black 0X</t>
  </si>
  <si>
    <t>195046057542</t>
  </si>
  <si>
    <t>Seven7 Shortalls Warm Sand S</t>
  </si>
  <si>
    <t>194278195350</t>
  </si>
  <si>
    <t>Anne Klein Plus Size Pearly Back-Button T Anne Whitepoppy 0X</t>
  </si>
  <si>
    <t>93488275633</t>
  </si>
  <si>
    <t>COTTON, RAYON, POLYESTER, SPANDEX</t>
  </si>
  <si>
    <t>B810BBBX</t>
  </si>
  <si>
    <t>Democracy Democracy 13 Ab Solution Be In Indigo 2</t>
  </si>
  <si>
    <t>784645416548</t>
  </si>
  <si>
    <t>COTTON, POLYESTER, SPANDEX</t>
  </si>
  <si>
    <t>STRAIGHT LEG</t>
  </si>
  <si>
    <t>Democracy Democracy AB Solution Mid Rise Black 2</t>
  </si>
  <si>
    <t>784645834526</t>
  </si>
  <si>
    <t>Riley Rae Smocked Bodice Dress Ultra White S</t>
  </si>
  <si>
    <t>195203524474</t>
  </si>
  <si>
    <t>BAM105</t>
  </si>
  <si>
    <t>BAM by Betsy Adam Solid Drawstring Joggers, Crea Black L</t>
  </si>
  <si>
    <t>195170019188</t>
  </si>
  <si>
    <t>M1HFF891</t>
  </si>
  <si>
    <t>Calvin Klein Satin Trim Jogger Pants Black L</t>
  </si>
  <si>
    <t>195841687470</t>
  </si>
  <si>
    <t>M1MA9547</t>
  </si>
  <si>
    <t>Calvin Klein Printed Tab-Sleeve Shirt Latte Giraffe Print S</t>
  </si>
  <si>
    <t>195046254132</t>
  </si>
  <si>
    <t>Kasper Pull-On Slim Ankle Pants Willow XL</t>
  </si>
  <si>
    <t>93488748250</t>
  </si>
  <si>
    <t>T0FK0FFZ</t>
  </si>
  <si>
    <t>Tommy Jeans Two-Tone Cargo Pants Tannin 27</t>
  </si>
  <si>
    <t>190607204946</t>
  </si>
  <si>
    <t>Tommy Jeans Patchwork Slip Dress Sky Captain Multi S</t>
  </si>
  <si>
    <t>195105812129</t>
  </si>
  <si>
    <t>Kasper Sunset Waves Tank Top Valencia Multi 3X</t>
  </si>
  <si>
    <t>93488207290</t>
  </si>
  <si>
    <t>Vince Camuto Vince Camuto Plus Size Tie Dye Rich Black 2X</t>
  </si>
  <si>
    <t>195203763422</t>
  </si>
  <si>
    <t>DKNY Striped Peplum-Hem Top Ivory Herb Multi M</t>
  </si>
  <si>
    <t>794278575079</t>
  </si>
  <si>
    <t>Riley Rae Adrianna Printed Button-Front Legacy Pink 6</t>
  </si>
  <si>
    <t>195203526157</t>
  </si>
  <si>
    <t>CeCe Tie-Front Pull-On Paperbag Sho Rich Black 10</t>
  </si>
  <si>
    <t>193768510499</t>
  </si>
  <si>
    <t>W7430586162</t>
  </si>
  <si>
    <t>Champion Explorer Fleece Snap-Front Top Hush Pink XS</t>
  </si>
  <si>
    <t>194164666155</t>
  </si>
  <si>
    <t>Champion Explorer Fleece Snap-Front Top Hush Pink XL</t>
  </si>
  <si>
    <t>194164666193</t>
  </si>
  <si>
    <t>W1DKA296</t>
  </si>
  <si>
    <t>Calvin Klein Plus Size Textured Cotton Crop Black 2X</t>
  </si>
  <si>
    <t>195046055241</t>
  </si>
  <si>
    <t>O1YA15MC047</t>
  </si>
  <si>
    <t>GUESS GUESS Contrast Cutout-Back Act Fluo Fuchsia XS</t>
  </si>
  <si>
    <t>7618483942415</t>
  </si>
  <si>
    <t>GUESS GUESS Contrast Cutout-Back Act Skyline Light Blue L</t>
  </si>
  <si>
    <t>7618483942491</t>
  </si>
  <si>
    <t>Kasper Crew-Neck Sheath Dress Black 18</t>
  </si>
  <si>
    <t>716357726745</t>
  </si>
  <si>
    <t>MY17475P</t>
  </si>
  <si>
    <t>Seven7 Bombshell Ripped Skinny Jeans 5 Points 10</t>
  </si>
  <si>
    <t>194278258970</t>
  </si>
  <si>
    <t>SPPT4841</t>
  </si>
  <si>
    <t>Calvin Klein Petite Highline Slim Pants Black 2P</t>
  </si>
  <si>
    <t>888738859219</t>
  </si>
  <si>
    <t>INC International Concepts Bow-Back Dot-Print Shift Dress PeriwinkleIvory XL</t>
  </si>
  <si>
    <t>93488253693</t>
  </si>
  <si>
    <t>BAM by Betsy Adam Hoodie with Built-In Mask, Cre Black S</t>
  </si>
  <si>
    <t>195170018914</t>
  </si>
  <si>
    <t>Calvin Klein Long Sleeve Button Front Knit Black S</t>
  </si>
  <si>
    <t>195841685094</t>
  </si>
  <si>
    <t>Calvin Klein 34 Sleeve Plaid V-Neck Top BlackCharcoal M</t>
  </si>
  <si>
    <t>195841687838</t>
  </si>
  <si>
    <t>M1GFB841</t>
  </si>
  <si>
    <t>Calvin Klein Brushed Knit Cropped Pants Black L</t>
  </si>
  <si>
    <t>195841749246</t>
  </si>
  <si>
    <t>POLYESTER/RAYON/SPANDEX.</t>
  </si>
  <si>
    <t>M7VK7249</t>
  </si>
  <si>
    <t>Calvin Klein Zip-Pocket Straight-Leg Pants Soft White 12</t>
  </si>
  <si>
    <t>191797998554</t>
  </si>
  <si>
    <t>Kasper Slim-Leg Pencil Pants Blackivory 4</t>
  </si>
  <si>
    <t>93488301073</t>
  </si>
  <si>
    <t>Kasper Wide-Leg Crepe Side-Zip Pants Black 18</t>
  </si>
  <si>
    <t>93488539018</t>
  </si>
  <si>
    <t>GF857Y06145</t>
  </si>
  <si>
    <t>Champion Embroidered Logo Hoodie Wildflower Pale Blue M</t>
  </si>
  <si>
    <t>77478915082</t>
  </si>
  <si>
    <t>P1APTGPK</t>
  </si>
  <si>
    <t>DKNY Lace T-Shirt Dress Avenue Grey XS</t>
  </si>
  <si>
    <t>794278754931</t>
  </si>
  <si>
    <t>P0DK7COT</t>
  </si>
  <si>
    <t>DKNY Printed Pull-On Pants Flamingo Multi XL</t>
  </si>
  <si>
    <t>795730514728</t>
  </si>
  <si>
    <t>Kasper Petite Stretch Crepe Slim-Leg Wedgewood Blue 10P</t>
  </si>
  <si>
    <t>93488300229</t>
  </si>
  <si>
    <t>Kasper Plus Size Sunset Waves Printed Valencia Multi 2X</t>
  </si>
  <si>
    <t>93488207313</t>
  </si>
  <si>
    <t>Kasper Plus Size Pull-On Slim Ankle P Willow 3X</t>
  </si>
  <si>
    <t>93488748441</t>
  </si>
  <si>
    <t>Riley Rae Jill Stripe Maxi Dress, Create Ultra Whiteblack XS</t>
  </si>
  <si>
    <t>195203797793</t>
  </si>
  <si>
    <t>Kasper Plus Size Sleeveless Sheath Dr Black 16W</t>
  </si>
  <si>
    <t>716357726912</t>
  </si>
  <si>
    <t>Kasper Plus Size Embroidered Floral S Tutu Pink Multi 18W</t>
  </si>
  <si>
    <t>93488046448</t>
  </si>
  <si>
    <t>Tommy Hilfiger Lace-Up Shift Dress Sky Captain M</t>
  </si>
  <si>
    <t>190607247387</t>
  </si>
  <si>
    <t>CeCe Cotton Chiffon-Sleeve Mixed-Me Antique White M</t>
  </si>
  <si>
    <t>194288292803</t>
  </si>
  <si>
    <t>Tommy Hilfiger Plus Size Alton Cargo Pants Bright White 1X</t>
  </si>
  <si>
    <t>195105816691</t>
  </si>
  <si>
    <t>58% COTTON/33% LYOCELL/7% POLYESTER/2% ELASTANE</t>
  </si>
  <si>
    <t>MMST8169</t>
  </si>
  <si>
    <t>NYDJ Drawstring Cargo Shorts in Str Moss 18</t>
  </si>
  <si>
    <t>194477222772</t>
  </si>
  <si>
    <t>Tommy Hilfiger Plus Size Alton Cargo Pants Bright White 0X</t>
  </si>
  <si>
    <t>195105816660</t>
  </si>
  <si>
    <t>Tommy Hilfiger Plus Size Alton Cargo Pants Khaki 3X</t>
  </si>
  <si>
    <t>195105816714</t>
  </si>
  <si>
    <t>Tommy Hilfiger Plus Size Alton Cargo Pants Khaki 0X</t>
  </si>
  <si>
    <t>195105816707</t>
  </si>
  <si>
    <t>W0BR48R2K32</t>
  </si>
  <si>
    <t>GUESS Layla Off-the-Shoulder Sweater Vanilla Storm M</t>
  </si>
  <si>
    <t>193327953026</t>
  </si>
  <si>
    <t>Calvin Klein Plus Size Flutter-Sleeve Top Grotto 1X</t>
  </si>
  <si>
    <t>194414234103</t>
  </si>
  <si>
    <t>W7VK7249</t>
  </si>
  <si>
    <t>Calvin Klein Plus Size Straight-Leg Ankle P Twilight 22W</t>
  </si>
  <si>
    <t>191797977658</t>
  </si>
  <si>
    <t>4 AV/MD/RG</t>
  </si>
  <si>
    <t>Donna Ricco Sleeveless Lace Dress Navy Ivory 4</t>
  </si>
  <si>
    <t>889648522514</t>
  </si>
  <si>
    <t>GUESS Mona Button-Front Top Ivory Bone S</t>
  </si>
  <si>
    <t>7618483145649</t>
  </si>
  <si>
    <t>GUESS Tanya Boat-Neck Sweater LIGHT RUM L</t>
  </si>
  <si>
    <t>195124138477</t>
  </si>
  <si>
    <t>W1GR25R13G8</t>
  </si>
  <si>
    <t>GUESS GUESS Off-The-Shoulder Crop To Dried Sage Multi XS</t>
  </si>
  <si>
    <t>195124139429</t>
  </si>
  <si>
    <t>GUESS Remi Gauze Shorts Pure White Multi S</t>
  </si>
  <si>
    <t>195124353221</t>
  </si>
  <si>
    <t>W1YQ0AK68I1</t>
  </si>
  <si>
    <t>GUESS Cropped Mini Triangle Logo Fle Baja Palm Tie Dye S</t>
  </si>
  <si>
    <t>7620207174002</t>
  </si>
  <si>
    <t>Anne Klein Plus Size Colorblocked Drape-F MAGRITTE BLUENYC WHITE 1X</t>
  </si>
  <si>
    <t>93488375616</t>
  </si>
  <si>
    <t>L1CV2229</t>
  </si>
  <si>
    <t>Karl Lagerfeld Paris Karl Lagerfeld Paris Belted Li Gray 10</t>
  </si>
  <si>
    <t>194775744211</t>
  </si>
  <si>
    <t>TSMS1WP160</t>
  </si>
  <si>
    <t>Tahari ASL Paperbag-Waist Cropped Pants Dynasty Green 6</t>
  </si>
  <si>
    <t>663309975297</t>
  </si>
  <si>
    <t>TSMU1WP255</t>
  </si>
  <si>
    <t>Tahari ASL Ankle-Length Pants Almond 14</t>
  </si>
  <si>
    <t>635273868608</t>
  </si>
  <si>
    <t>Bar III Plus Size Side-Tie Slim Pants Blanc 20W</t>
  </si>
  <si>
    <t>93488673514</t>
  </si>
  <si>
    <t>Bar III Plus Size Cropped Pull-On Pant Medium Wash 2X</t>
  </si>
  <si>
    <t>93488765950</t>
  </si>
  <si>
    <t>P0RNZCVM</t>
  </si>
  <si>
    <t>DKNY Pleated Midi Skirt Camel Black Multi XL</t>
  </si>
  <si>
    <t>795728968489</t>
  </si>
  <si>
    <t>XD0PX401</t>
  </si>
  <si>
    <t>DKNY Essex Ankle Pants Baltic Blue 14P</t>
  </si>
  <si>
    <t>795730560060</t>
  </si>
  <si>
    <t>COTTON/POLYESTER/SPANDEX; LINING: POLYESTER</t>
  </si>
  <si>
    <t>W3234ERA</t>
  </si>
  <si>
    <t>DKNY One-Button Jacket Navy 10</t>
  </si>
  <si>
    <t>795733106579</t>
  </si>
  <si>
    <t>DKNY One-Button Jacket Navy 4</t>
  </si>
  <si>
    <t>795733106609</t>
  </si>
  <si>
    <t>DKNY One-Button Jacket Navy 6</t>
  </si>
  <si>
    <t>795733106593</t>
  </si>
  <si>
    <t>DKNY One-Button Jacket Navy 16</t>
  </si>
  <si>
    <t>795733106548</t>
  </si>
  <si>
    <t>Calvin Klein Plus Size Slim-Fit Pants Blush 14W</t>
  </si>
  <si>
    <t>194414750658</t>
  </si>
  <si>
    <t>Calvin Klein Plus Size Slim-Fit Pants Blush 24W</t>
  </si>
  <si>
    <t>194414750603</t>
  </si>
  <si>
    <t>X03PJ506</t>
  </si>
  <si>
    <t>Calvin Klein Trendy Plus Size Pull-On Pants Navy 16W</t>
  </si>
  <si>
    <t>194414367122</t>
  </si>
  <si>
    <t>Calvin Klein Trendy Plus Size Pull-On Pants Navy 18W</t>
  </si>
  <si>
    <t>194414367115</t>
  </si>
  <si>
    <t>Calvin Klein Plus Size Mid-Rise Pleat-Front Cocoa 18W</t>
  </si>
  <si>
    <t>195841512451</t>
  </si>
  <si>
    <t>195841410610</t>
  </si>
  <si>
    <t>Calvin Klein Tie-Waist Pleated Slim Pants, Luggage 2P</t>
  </si>
  <si>
    <t>193623038342</t>
  </si>
  <si>
    <t>195046287017</t>
  </si>
  <si>
    <t>Kasper Plus Size Cropped Ankle Pants Mariner Blue 22W</t>
  </si>
  <si>
    <t>93488300434</t>
  </si>
  <si>
    <t>J0CC2553</t>
  </si>
  <si>
    <t>Tommy Hilfiger Frayed Denim Jacket Chesapeake Blue S</t>
  </si>
  <si>
    <t>190607306237</t>
  </si>
  <si>
    <t>Tommy Hilfiger Plus Size Lace-Up Sleeveless D Samba 1X</t>
  </si>
  <si>
    <t>190607200832</t>
  </si>
  <si>
    <t>CeCe Tulip Ditsy Printed Blouse Wit Soft Ecru M</t>
  </si>
  <si>
    <t>194288120182</t>
  </si>
  <si>
    <t>CeCe Tie-Front Pull-On Paperbag Sho Moonlit 14</t>
  </si>
  <si>
    <t>193768510710</t>
  </si>
  <si>
    <t>Anne Klein Printed Faux-Wrap Dress Anne BlackWhite XL</t>
  </si>
  <si>
    <t>93488666691</t>
  </si>
  <si>
    <t>INC International Concepts Chiffon Toile Midi Dress Ivory Dark Rose 8</t>
  </si>
  <si>
    <t>93488253556</t>
  </si>
  <si>
    <t>UE1PA532</t>
  </si>
  <si>
    <t>DKNY Pull-On Ankle Pants Blue Fog Heather 16</t>
  </si>
  <si>
    <t>603556561584</t>
  </si>
  <si>
    <t>DKNY Essex Ankle Pants Grey Heather 2</t>
  </si>
  <si>
    <t>782212747811</t>
  </si>
  <si>
    <t>INC International Concepts Printed Off-the-Shoulder Dress Black Coastal Multi 4</t>
  </si>
  <si>
    <t>93488287704</t>
  </si>
  <si>
    <t>BAM by Betsy Adam Tie-Dyed Cropped Zip-Up Hoodie Tie Dye Multiwhite L</t>
  </si>
  <si>
    <t>195170020689</t>
  </si>
  <si>
    <t>BAM by Betsy Adam Tie-Dyed Cropped Zip-Up Hoodie Tie Dye Multiwhite M</t>
  </si>
  <si>
    <t>195170020672</t>
  </si>
  <si>
    <t>72QBR</t>
  </si>
  <si>
    <t>French Connection Rhodes Cotton Colorblocked Top Sum Wh-bay Bl-palm G L</t>
  </si>
  <si>
    <t>192942825664</t>
  </si>
  <si>
    <t>Kasper Plus Size Open-Front Cardigan Willow 1X</t>
  </si>
  <si>
    <t>93488750321</t>
  </si>
  <si>
    <t>GUESS GUESS Cutout-Back Sleeveless S Light Rum Multi L</t>
  </si>
  <si>
    <t>195124168122</t>
  </si>
  <si>
    <t>CPE1706D</t>
  </si>
  <si>
    <t>Calvin Klein Petite Jacket, Notched Collar Charcoal 6P</t>
  </si>
  <si>
    <t>885719549305</t>
  </si>
  <si>
    <t>P0DD9FJE</t>
  </si>
  <si>
    <t>DKNY Mixed-Media Asymmetrical-Hem M White S</t>
  </si>
  <si>
    <t>795730538526</t>
  </si>
  <si>
    <t>DKNY Open-Front Jacket Black 6</t>
  </si>
  <si>
    <t>795733127185</t>
  </si>
  <si>
    <t>GUESS Allison Cutout Sweater Dress BLEACHED BLUE MULTI XL</t>
  </si>
  <si>
    <t>195124088604</t>
  </si>
  <si>
    <t>GUESS Cropped Straight-Leg Jeans Blue Moon 25</t>
  </si>
  <si>
    <t>195124295545</t>
  </si>
  <si>
    <t>GUESS Shay Mixed-Rib Bodycon Dress Summer Orange Multi S</t>
  </si>
  <si>
    <t>195124302199</t>
  </si>
  <si>
    <t>GUESS Engineered Ribbed Midi Dress Jet Black XL</t>
  </si>
  <si>
    <t>193327543838</t>
  </si>
  <si>
    <t>W1GAJ3W93CE</t>
  </si>
  <si>
    <t>GUESS Mid-Rise Skinny Pants Rise Sky 28</t>
  </si>
  <si>
    <t>7618483443356</t>
  </si>
  <si>
    <t>GUESS Shay Mixed-Rib Bodycon Dress Summer Orange Multi L</t>
  </si>
  <si>
    <t>195124302205</t>
  </si>
  <si>
    <t>2642M</t>
  </si>
  <si>
    <t>Taylor Ruffle-Cuff Plaid A-Line Dress Black Orchid 4</t>
  </si>
  <si>
    <t>194686225618</t>
  </si>
  <si>
    <t>Taylor Ruffle-Cuff Plaid A-Line Dress Black Orchid 16</t>
  </si>
  <si>
    <t>194686225670</t>
  </si>
  <si>
    <t>W0YB13W96R0</t>
  </si>
  <si>
    <t>GUESS Gemma Wide-Leg Pants True White L</t>
  </si>
  <si>
    <t>7618584943540</t>
  </si>
  <si>
    <t>HR1M8122</t>
  </si>
  <si>
    <t>HARPER ROSE Sleeveless Scallop-Detail Shir Blue 16</t>
  </si>
  <si>
    <t>194592877390</t>
  </si>
  <si>
    <t>1.STATE Smocked High-Low Dress Rich Black S</t>
  </si>
  <si>
    <t>193768463184</t>
  </si>
  <si>
    <t>DKNY Belted Vest Denim Blue 4</t>
  </si>
  <si>
    <t>794278452592</t>
  </si>
  <si>
    <t>P0EJLFYC</t>
  </si>
  <si>
    <t>DKNY Soft Notched-Collar Utility Ja Hemp S</t>
  </si>
  <si>
    <t>795730491517</t>
  </si>
  <si>
    <t>M 30</t>
  </si>
  <si>
    <t>GUESS Cargo Pants SUMMER ORANGE M</t>
  </si>
  <si>
    <t>7620207151485</t>
  </si>
  <si>
    <t>GUESS Clara Printed Ruffled Dress Vintage African Leaves Combo S</t>
  </si>
  <si>
    <t>7618584427019</t>
  </si>
  <si>
    <t>W1YK64RARA0</t>
  </si>
  <si>
    <t>GUESS Loren Ruffled Dress Blue Cotton XS</t>
  </si>
  <si>
    <t>195124304803</t>
  </si>
  <si>
    <t>GUESS Alessia Polo Collar Wrap Dress Fade To Jade Multi XL</t>
  </si>
  <si>
    <t>195124301994</t>
  </si>
  <si>
    <t>Le Suit Plus Size Colorblocked Wing-Co Blackvanilla Ice 18W</t>
  </si>
  <si>
    <t>93488154532</t>
  </si>
  <si>
    <t>SW2112</t>
  </si>
  <si>
    <t>LNA Cotton Movement Muscle Tank To White M</t>
  </si>
  <si>
    <t>840201207316</t>
  </si>
  <si>
    <t>Kasper Faux-Double-Breasted Jacket Lily White 14</t>
  </si>
  <si>
    <t>93488084952</t>
  </si>
  <si>
    <t>J0XJ0836</t>
  </si>
  <si>
    <t>Tommy Hilfiger Tommy Hilfiger Quilted Zip Jac Black XS</t>
  </si>
  <si>
    <t>190607163519</t>
  </si>
  <si>
    <t>12AV/MD/RG</t>
  </si>
  <si>
    <t>2602M</t>
  </si>
  <si>
    <t>Taylor Belted Midi Dress Face Mask Prussian Navy 12</t>
  </si>
  <si>
    <t>194686231589</t>
  </si>
  <si>
    <t>COTTON/TENCEL® LYOCELL/POLYESTER/SPANDEX</t>
  </si>
  <si>
    <t>CeCe Embellished Skinny Jeans True Blue 30 US 10</t>
  </si>
  <si>
    <t>193768132516</t>
  </si>
  <si>
    <t>CeCe Embellished Skinny Jeans True Blue 29 US 8</t>
  </si>
  <si>
    <t>193768132509</t>
  </si>
  <si>
    <t>GUESS Tristian Belted Dress Face M Cream White 6</t>
  </si>
  <si>
    <t>195124303578</t>
  </si>
  <si>
    <t>EG8SM54509</t>
  </si>
  <si>
    <t>Sam Edelman The Stiletto Straight-Leg Jean Melanie 14</t>
  </si>
  <si>
    <t>193653306954</t>
  </si>
  <si>
    <t>Calvin Klein Petite Plaid Blazer Charcoal Multi 14P</t>
  </si>
  <si>
    <t>195841696403</t>
  </si>
  <si>
    <t>Calvin Klein Plus Size Open-Front Pleated-C Klein Blue 14W</t>
  </si>
  <si>
    <t>195841695062</t>
  </si>
  <si>
    <t>Calvin Klein Plus Size Open-Front Pleated-C Klein Blue 24W</t>
  </si>
  <si>
    <t>195841695017</t>
  </si>
  <si>
    <t>COTTON/POLYESTER/LYOCELL/ELASTOMULTIESTER/ELASTANE</t>
  </si>
  <si>
    <t>MDNM2021</t>
  </si>
  <si>
    <t>NYDJ Tummy-Control Skinny Jeans Rinse 10</t>
  </si>
  <si>
    <t>889982562832</t>
  </si>
  <si>
    <t>NYDJ Tummy-Control Skinny Jeans Rinse 8</t>
  </si>
  <si>
    <t>889982562825</t>
  </si>
  <si>
    <t>MDNM2044</t>
  </si>
  <si>
    <t>NYDJ Barbara Tummy-Control Bootcut Rinse 8</t>
  </si>
  <si>
    <t>889982566960</t>
  </si>
  <si>
    <t>NYDJ Sheri Straight-Leg Jeans Black 2</t>
  </si>
  <si>
    <t>889982762522</t>
  </si>
  <si>
    <t>MBDMBB2339</t>
  </si>
  <si>
    <t>NYDJ Barbara Tummy-Control Bootcut Black 8</t>
  </si>
  <si>
    <t>889982761372</t>
  </si>
  <si>
    <t>COTTON/POLYESTER/LYOCELL/ELASTANE</t>
  </si>
  <si>
    <t>MDNM2013</t>
  </si>
  <si>
    <t>NYDJ Marilyn Tummy-Control Straight Rinse 2</t>
  </si>
  <si>
    <t>889982557630</t>
  </si>
  <si>
    <t>13 AVG</t>
  </si>
  <si>
    <t>Sam Edelman The Riley Cotton Asymmetrical Quartz 8</t>
  </si>
  <si>
    <t>193653307999</t>
  </si>
  <si>
    <t>ALALA LLC</t>
  </si>
  <si>
    <t>F17-PA11</t>
  </si>
  <si>
    <t>Alala Seamless Mesh-Panel Tights Navy L</t>
  </si>
  <si>
    <t>816831028799</t>
  </si>
  <si>
    <t>72QCD</t>
  </si>
  <si>
    <t>French Connection Aziza Floral Top Summer White M</t>
  </si>
  <si>
    <t>192942808872</t>
  </si>
  <si>
    <t>S1FTJ-T5548M</t>
  </si>
  <si>
    <t>Eileen Fisher Boxy V-Neck Top Black XXS</t>
  </si>
  <si>
    <t>193481632775</t>
  </si>
  <si>
    <t>SHELL: COTTON/NYLON; LINING: POLYESTER</t>
  </si>
  <si>
    <t>Le Suit Button Detail Pantsuit Pebble 12</t>
  </si>
  <si>
    <t>93487999400</t>
  </si>
  <si>
    <t>Calvin Klein Belted Denim Midi Shirtdress Indigo 12</t>
  </si>
  <si>
    <t>195046036936</t>
  </si>
  <si>
    <t>W1YN00R3DN1</t>
  </si>
  <si>
    <t>GUESS Stevie Denim Trucker Jacket Pastel Dream Multi XS</t>
  </si>
  <si>
    <t>195124305251</t>
  </si>
  <si>
    <t>GUESS Stevie Denim Trucker Jacket Pastel Dream Multi S</t>
  </si>
  <si>
    <t>195124305213</t>
  </si>
  <si>
    <t>W1GH05R4E30</t>
  </si>
  <si>
    <t>GUESS Amaia Lace-Trim Chambray Tunic Indigo Glaze M</t>
  </si>
  <si>
    <t>195124166623</t>
  </si>
  <si>
    <t>L1BBX998</t>
  </si>
  <si>
    <t>Karl Lagerfeld Paris Karl Lagerfeld Puff Sleeve Mid Charcoal 16</t>
  </si>
  <si>
    <t>194775761331</t>
  </si>
  <si>
    <t>POLYESTER/METALLIC; LINING: POLYESTER</t>
  </si>
  <si>
    <t>TSMS0WN111</t>
  </si>
  <si>
    <t>Tahari ASL Metallic-Floral Dress Suit Pink Gold Floral 14</t>
  </si>
  <si>
    <t>635273788074</t>
  </si>
  <si>
    <t>TSMU1WJ480</t>
  </si>
  <si>
    <t>Tahari ASL Puff-Shoulder Peplum-Hem Blaze Ivory 12</t>
  </si>
  <si>
    <t>663309997008</t>
  </si>
  <si>
    <t>JEN7 Skinny Ankle Jeans Birchwood 18</t>
  </si>
  <si>
    <t>190392776123</t>
  </si>
  <si>
    <t>JEN7 Sculpting Boyfriend Jeans Bayview 8</t>
  </si>
  <si>
    <t>190392929567</t>
  </si>
  <si>
    <t>JEN7 Tulip Hem Skinny Jeans Capistrano 10</t>
  </si>
  <si>
    <t>190392935704</t>
  </si>
  <si>
    <t>SHELL: POLYESTER/RAYON/ELASTANE; LINING: POLYESTER</t>
  </si>
  <si>
    <t>33RRP007</t>
  </si>
  <si>
    <t>Tahari ASL Peak-Collar Blazer Heather Gray 10P</t>
  </si>
  <si>
    <t>191151396811</t>
  </si>
  <si>
    <t>Tahari ASL Peak-Collar Blazer Black 2P</t>
  </si>
  <si>
    <t>635273566474</t>
  </si>
  <si>
    <t>GUESS Delta Denim Dress One Wild Night S</t>
  </si>
  <si>
    <t>7620207167042</t>
  </si>
  <si>
    <t>LSH1315PI36</t>
  </si>
  <si>
    <t>Barbour Striped Marine Button-Down Lin Oyster Pinkwhite 6</t>
  </si>
  <si>
    <t>194972315306</t>
  </si>
  <si>
    <t>Barbour Striped Marine Button-Down Lin Oyster Pinkwhite 8</t>
  </si>
  <si>
    <t>194972315498</t>
  </si>
  <si>
    <t>LSH1387IN52</t>
  </si>
  <si>
    <t>Barbour Tynemouth Cotton Shirt Authentic Wash 8</t>
  </si>
  <si>
    <t>194972222826</t>
  </si>
  <si>
    <t>GUESS Bella Printed Denim Jacket Hollywood Pop Rose M</t>
  </si>
  <si>
    <t>7618483458268</t>
  </si>
  <si>
    <t>SS2176</t>
  </si>
  <si>
    <t>LNA Cotton Distressed Raw-Hem Shor Heather Pink XS</t>
  </si>
  <si>
    <t>840201218954</t>
  </si>
  <si>
    <t>LNA Cotton Distressed Raw-Hem Shor Heather Pink M</t>
  </si>
  <si>
    <t>840201218978</t>
  </si>
  <si>
    <t>71MZH</t>
  </si>
  <si>
    <t>French Connection Whisper Ruffled Dress Black 2</t>
  </si>
  <si>
    <t>887916449709</t>
  </si>
  <si>
    <t>85% COTTON/13% LYOCELL/3% SPANDEX</t>
  </si>
  <si>
    <t>MADE IN VIETNAM</t>
  </si>
  <si>
    <t>7G026489</t>
  </si>
  <si>
    <t>JEN7 Embroidered Straight-Leg Ankle Capistrano 8</t>
  </si>
  <si>
    <t>190392935919</t>
  </si>
  <si>
    <t>71MZF</t>
  </si>
  <si>
    <t>French Connection Whisper One-Shoulder Envelope Black 2</t>
  </si>
  <si>
    <t>887916449426</t>
  </si>
  <si>
    <t>Eileen Fisher Petite Organic Linen Lantern A Seaweed PM</t>
  </si>
  <si>
    <t>193481696081</t>
  </si>
  <si>
    <t>LNA Cotton Ribbed-Panel Sweatshirt Heather Pink S</t>
  </si>
  <si>
    <t>840201218312</t>
  </si>
  <si>
    <t>7U303005</t>
  </si>
  <si>
    <t>7 For All Mankind Josefina Boyfriend Jeans Formosa 28</t>
  </si>
  <si>
    <t>190392979401</t>
  </si>
  <si>
    <t>Barbour Striped Sleeveless Dress Cloud 8</t>
  </si>
  <si>
    <t>194972200619</t>
  </si>
  <si>
    <t>D5531WZEL</t>
  </si>
  <si>
    <t>Dauntless Cotton Zelda Culottes Black M</t>
  </si>
  <si>
    <t>850027946221</t>
  </si>
  <si>
    <t>D1532WMAI</t>
  </si>
  <si>
    <t>Dauntless Cotton Maisie Zipped Denim Jac Black L</t>
  </si>
  <si>
    <t>850027946146</t>
  </si>
  <si>
    <t>F9HTH-P1515M</t>
  </si>
  <si>
    <t>Eileen Fisher Skirted Leggings Charcoal XL</t>
  </si>
  <si>
    <t>672178679175</t>
  </si>
  <si>
    <t>100% ORGANIC COTTON</t>
  </si>
  <si>
    <t>MADE IN PERU</t>
  </si>
  <si>
    <t>S1AEB-P4556M</t>
  </si>
  <si>
    <t>Eileen Fisher Organic Cotton Ankle Track Pan Black XL</t>
  </si>
  <si>
    <t>193481586696</t>
  </si>
  <si>
    <t>7U303495</t>
  </si>
  <si>
    <t>7 For All Mankind Josefina Skinny Ankle Jeans Mineral Celadon 27</t>
  </si>
  <si>
    <t>190392945161</t>
  </si>
  <si>
    <t>56% ORGANIC LINEN/44% ORGANIC COTTON</t>
  </si>
  <si>
    <t>S1NYE-K5183M</t>
  </si>
  <si>
    <t>Eileen Fisher Organic Open-Front Cardigan Black S</t>
  </si>
  <si>
    <t>193481607612</t>
  </si>
  <si>
    <t>S1FTJ-D4995P</t>
  </si>
  <si>
    <t>Eileen Fisher Tiered Dress Black PM</t>
  </si>
  <si>
    <t>193481717496</t>
  </si>
  <si>
    <t>1911-1281</t>
  </si>
  <si>
    <t>Citizens of Humanity Marlee Cotton Ripped Jeans Catalonia 24L</t>
  </si>
  <si>
    <t>193693171444</t>
  </si>
  <si>
    <t>AU0501311</t>
  </si>
  <si>
    <t>7 For All Mankind Josefina Cuffed Skinny Jeans Grey 29</t>
  </si>
  <si>
    <t>190392900047</t>
  </si>
  <si>
    <t>LOS0018GN34</t>
  </si>
  <si>
    <t>Barbour Victoria Cotton Utility Jacket Bay Leaf 8</t>
  </si>
  <si>
    <t>194972215194</t>
  </si>
  <si>
    <t>Champion Womens Cotton Cropped T-Shirt Deep Forte Blue L</t>
  </si>
  <si>
    <t>77478995008</t>
  </si>
  <si>
    <t>T1AH0BFB</t>
  </si>
  <si>
    <t>Tommy Jeans Cotton Printed T-Shirt Bright White S</t>
  </si>
  <si>
    <t>195105812730</t>
  </si>
  <si>
    <t>J1AH0268</t>
  </si>
  <si>
    <t>DRAFT - Tommy Hilfiger - Archi Scarlet XS</t>
  </si>
  <si>
    <t>195105803530</t>
  </si>
  <si>
    <t>Tommy Jeans Floral Ruffle Shorts Khaki Combo S</t>
  </si>
  <si>
    <t>190607313716</t>
  </si>
  <si>
    <t>T0EH0AGZ</t>
  </si>
  <si>
    <t>Tommy Jeans Smocked Peasant Top Sky Captain XS</t>
  </si>
  <si>
    <t>190607207060</t>
  </si>
  <si>
    <t>Tommy Jeans Sleeveless Logo Bodysuit Scarlet S</t>
  </si>
  <si>
    <t>190607205011</t>
  </si>
  <si>
    <t>GUESS V-Neck Button Top Bleached Blue L</t>
  </si>
  <si>
    <t>195124086136</t>
  </si>
  <si>
    <t>Tommy Jeans Short Sleeve V-Neck Bodysuit Pink Dawn M</t>
  </si>
  <si>
    <t>195105759448</t>
  </si>
  <si>
    <t>Tommy Jeans Bandana-Print Shorts Sky Captain Multi L</t>
  </si>
  <si>
    <t>195105763094</t>
  </si>
  <si>
    <t>Tommy Jeans Mid-Rise Tie-Dyed Skinny Jeans Pink 27</t>
  </si>
  <si>
    <t>190607207268</t>
  </si>
  <si>
    <t>195105789964</t>
  </si>
  <si>
    <t>12UXJF307</t>
  </si>
  <si>
    <t>Junk Food Womens Cotton Tie-Dyed One Lo Tie Dye L</t>
  </si>
  <si>
    <t>194973801679</t>
  </si>
  <si>
    <t>RSD012F</t>
  </si>
  <si>
    <t>Splendid Del Ray Cropped Tank Top Black L</t>
  </si>
  <si>
    <t>193666568844</t>
  </si>
  <si>
    <t>Champion Cotton Pull-On Shorts Fantastic Fuchsia M</t>
  </si>
  <si>
    <t>77478960464</t>
  </si>
  <si>
    <t>MEDIUM S/S</t>
  </si>
  <si>
    <t>Junk Food Cotton Miller Racing-Graphic C Red M</t>
  </si>
  <si>
    <t>194973897573</t>
  </si>
  <si>
    <t>12WXJJ013</t>
  </si>
  <si>
    <t>Junk Food Womens Janis Joplin-Graphic C Marshmallow XS</t>
  </si>
  <si>
    <t>194973856679</t>
  </si>
  <si>
    <t>Madden Girl Juniors Cotton Ruched Graphic Bubblegum XL</t>
  </si>
  <si>
    <t>193290743785</t>
  </si>
  <si>
    <t>Riley Rae Valerie Ribbed Lettuce-Edge To Silver Heather XL</t>
  </si>
  <si>
    <t>195203512211</t>
  </si>
  <si>
    <t>Riley Rae Valerie Ribbed Lettuce-Edge To Silver Heather L</t>
  </si>
  <si>
    <t>195203512204</t>
  </si>
  <si>
    <t>Tommy Hilfiger Short-Sleeve V-Neck Tee Indigo Heather XL</t>
  </si>
  <si>
    <t>192114640262</t>
  </si>
  <si>
    <t>194164669644</t>
  </si>
  <si>
    <t>Champion Logo Cropped T-Shirt Melted Butter Yellow XXL</t>
  </si>
  <si>
    <t>77478917499</t>
  </si>
  <si>
    <t>Champion Womens Cropped Graphic-Print White M</t>
  </si>
  <si>
    <t>77478966480</t>
  </si>
  <si>
    <t>Champion Logo Cropped T-Shirt Melted Butter Yellow S</t>
  </si>
  <si>
    <t>77478917451</t>
  </si>
  <si>
    <t>MGKT1027A</t>
  </si>
  <si>
    <t>Madden Girl Juniors Floral-Print Peasant Parchment XL</t>
  </si>
  <si>
    <t>193290689083</t>
  </si>
  <si>
    <t>12UXGD148</t>
  </si>
  <si>
    <t>Junk Food Grateful Dead Cotton T-Shirt Grapemistlarimar Tie Dye S</t>
  </si>
  <si>
    <t>195883231716</t>
  </si>
  <si>
    <t>W5950P</t>
  </si>
  <si>
    <t>Champion Logo-Print Cropped T-Shirt Layered Scripts Athletic Navy XS</t>
  </si>
  <si>
    <t>194164673108</t>
  </si>
  <si>
    <t>Champion Active Tie-Front T-Shirt Beloved Orchid XL</t>
  </si>
  <si>
    <t>77478984538</t>
  </si>
  <si>
    <t>T1AH0AHF</t>
  </si>
  <si>
    <t>Tommy Jeans Long-Sleeve Big Flag T-Shirt Sky Captain S</t>
  </si>
  <si>
    <t>195105813355</t>
  </si>
  <si>
    <t>Tommy Jeans Cotton Linear Logo T-Shirt Bright White S</t>
  </si>
  <si>
    <t>195105710517</t>
  </si>
  <si>
    <t>Tommy Jeans Cotton Logo-Graphic Cropped T- Skylight S</t>
  </si>
  <si>
    <t>195105823101</t>
  </si>
  <si>
    <t>T1EH0CBD</t>
  </si>
  <si>
    <t>Tommy Jeans Cotton Linear Logo Cropped T-S Rouge L</t>
  </si>
  <si>
    <t>195105699638</t>
  </si>
  <si>
    <t>Riley Rae Julie Ruched Puff-Sleeve Top Legacy Pink S</t>
  </si>
  <si>
    <t>195203518206</t>
  </si>
  <si>
    <t>Riley Rae Julie Ruched Puff-Sleeve Top Legacy Pink L</t>
  </si>
  <si>
    <t>195203518220</t>
  </si>
  <si>
    <t>Splendid Charli Tie-Dyed Sweatshirt Black L</t>
  </si>
  <si>
    <t>193666270754</t>
  </si>
  <si>
    <t>Riley Rae Ruffled Off-the-Shoulder Top Amber Sun L</t>
  </si>
  <si>
    <t>195203685366</t>
  </si>
  <si>
    <t>Tommy Hilfiger Zip Polo Shirt Cerulean XS</t>
  </si>
  <si>
    <t>190607279920</t>
  </si>
  <si>
    <t>J1DH0299</t>
  </si>
  <si>
    <t>Tommy Hilfiger Logo T-Shirt Scarlet S</t>
  </si>
  <si>
    <t>195105748206</t>
  </si>
  <si>
    <t>J0DHN838</t>
  </si>
  <si>
    <t>Tommy Hilfiger Cotton Embroidered Top Bright WhiteSky Captain S</t>
  </si>
  <si>
    <t>190607280544</t>
  </si>
  <si>
    <t>J0DH0869</t>
  </si>
  <si>
    <t>Tommy Hilfiger Cotton Liberty Logo T-Shirt Stone Grey Heather M</t>
  </si>
  <si>
    <t>190607278855</t>
  </si>
  <si>
    <t>TP03842T</t>
  </si>
  <si>
    <t>Tommy Hilfiger Womens Ribbed Tank Top Deep Blue XL</t>
  </si>
  <si>
    <t>195105681336</t>
  </si>
  <si>
    <t>GUESS Cropped Logo Cotton T-Shirt Touch Of Mauve XL</t>
  </si>
  <si>
    <t>7618483816273</t>
  </si>
  <si>
    <t>Riley Rae Lily Tank Top Ultra White S</t>
  </si>
  <si>
    <t>195203683669</t>
  </si>
  <si>
    <t>Gloria Vanderbilt Gloria Vanderbilt Womens Zoey Stonewood M</t>
  </si>
  <si>
    <t>8868406460</t>
  </si>
  <si>
    <t>GF567Y08160</t>
  </si>
  <si>
    <t>Champion Powerblend Logo Sweatshirt Flashy Magenta XS</t>
  </si>
  <si>
    <t>194164689109</t>
  </si>
  <si>
    <t>Riley Rae Rose Double Weave Shorts Soft Ecru 2</t>
  </si>
  <si>
    <t>195203336442</t>
  </si>
  <si>
    <t>MGS542X-YYR</t>
  </si>
  <si>
    <t>Madden Girl Madden Girl Juniors Denim Fra Med Wash 28</t>
  </si>
  <si>
    <t>193290731928</t>
  </si>
  <si>
    <t>Riley Rae Chelsea Striped Sweater Rich Black XL</t>
  </si>
  <si>
    <t>195203159485</t>
  </si>
  <si>
    <t>Champion Womens The Authentic Medium-I Black S</t>
  </si>
  <si>
    <t>77478839586</t>
  </si>
  <si>
    <t>1.STATE Peplum Tank Twilight Navy XL</t>
  </si>
  <si>
    <t>195203675282</t>
  </si>
  <si>
    <t>Tommy Jeans Tommy Jeans Flag Logo Bodysuit Stone Grey Heather S</t>
  </si>
  <si>
    <t>195105698303</t>
  </si>
  <si>
    <t>Riley Rae Melody Ribbed Flare Pants Rich Black L</t>
  </si>
  <si>
    <t>195203516332</t>
  </si>
  <si>
    <t>W1GI82R0OYA</t>
  </si>
  <si>
    <t>GUESS GUESS Sleeveless Mock-Neck Log Cream White S</t>
  </si>
  <si>
    <t>195124155481</t>
  </si>
  <si>
    <t>W6052</t>
  </si>
  <si>
    <t>Champion Cropped Tank Top Black Heather L</t>
  </si>
  <si>
    <t>77478982640</t>
  </si>
  <si>
    <t>Champion Womens Soft Touch Boy Shorts Enchanted Lilac Heather XS</t>
  </si>
  <si>
    <t>77478974836</t>
  </si>
  <si>
    <t>Champion Cropped Tank Top Black M</t>
  </si>
  <si>
    <t>77478981575</t>
  </si>
  <si>
    <t>T1BW0CCA</t>
  </si>
  <si>
    <t>Tommy Jeans Knit Logo Shorts True Navy XXS</t>
  </si>
  <si>
    <t>195105813492</t>
  </si>
  <si>
    <t>T1DD0AIZ</t>
  </si>
  <si>
    <t>Tommy Jeans Short Sleeve Flag Tee Dress Black XXS</t>
  </si>
  <si>
    <t>195105700310</t>
  </si>
  <si>
    <t>Tommy Jeans Contrast-Hem Shorts Bright White XXS</t>
  </si>
  <si>
    <t>195105700044</t>
  </si>
  <si>
    <t>P0DBHCNA</t>
  </si>
  <si>
    <t>DKNY Glitter Empire State Building Whitetropicalflamingo S</t>
  </si>
  <si>
    <t>795730550924</t>
  </si>
  <si>
    <t>J7EN6236</t>
  </si>
  <si>
    <t>Tommy Hilfiger Printed Mini Skirt Wtblu Orc 14</t>
  </si>
  <si>
    <t>190607751471</t>
  </si>
  <si>
    <t>Calvin Klein Plus Size Ruched Side Tank Top Secret 2X</t>
  </si>
  <si>
    <t>195841937063</t>
  </si>
  <si>
    <t>PF1X0237</t>
  </si>
  <si>
    <t>Calvin Klein Plus Size Icon Logo T-Shirt Stardust 1X</t>
  </si>
  <si>
    <t>195841932440</t>
  </si>
  <si>
    <t>Calvin Klein Plus Size Ruched Side Tank Top Energy 3X</t>
  </si>
  <si>
    <t>195841933546</t>
  </si>
  <si>
    <t>Calvin Klein Plus Size Solid Rolled-Cuff To Pearl Grey Heather 2X</t>
  </si>
  <si>
    <t>194414397006</t>
  </si>
  <si>
    <t>Jessica Simpson Mercer V-Neck Lace-Up Top Maritime Blue XS</t>
  </si>
  <si>
    <t>8867545337</t>
  </si>
  <si>
    <t>X8FTY46A</t>
  </si>
  <si>
    <t>Calvin Klein Plus Size Strappy Cami Top White 3X</t>
  </si>
  <si>
    <t>194414520817</t>
  </si>
  <si>
    <t>Tommy Hilfiger Plus Size Logo-Print T-Shirt White 1X</t>
  </si>
  <si>
    <t>195105728642</t>
  </si>
  <si>
    <t>Tommy Hilfiger Womens Faux-Wrap Dress Scarlet XS</t>
  </si>
  <si>
    <t>195105778784</t>
  </si>
  <si>
    <t>J0FH0924</t>
  </si>
  <si>
    <t>Tommy Hilfiger Cotton Tie-Dye-Print Side-Tie WhiteRose M</t>
  </si>
  <si>
    <t>190607224517</t>
  </si>
  <si>
    <t>Tommy Hilfiger Logo Mini Skirt White L</t>
  </si>
  <si>
    <t>190607383078</t>
  </si>
  <si>
    <t>Tommy Hilfiger Cotton Printed Caftan T-Shirt Tea Rose S</t>
  </si>
  <si>
    <t>190607222360</t>
  </si>
  <si>
    <t>TP18322Z</t>
  </si>
  <si>
    <t>Tommy Hilfiger Graphic T-Shirt Dress Deep Blue XS</t>
  </si>
  <si>
    <t>195105869147</t>
  </si>
  <si>
    <t>Tommy Hilfiger Plus Size Crewneck Logo T-Shir Deep Blue 2X</t>
  </si>
  <si>
    <t>195105729113</t>
  </si>
  <si>
    <t>T0AW6FAD</t>
  </si>
  <si>
    <t>Tommy Jeans Ripped Denim Shorts Riptide 32</t>
  </si>
  <si>
    <t>190607353224</t>
  </si>
  <si>
    <t>Riley Rae Shelby Gingham Pleated Shorts Rich Black 8</t>
  </si>
  <si>
    <t>195203521978</t>
  </si>
  <si>
    <t>Riley Rae Shelby Gingham Pleated Shorts Vivid Green 0</t>
  </si>
  <si>
    <t>195203522012</t>
  </si>
  <si>
    <t>Riley Rae Printed-Sleeve Sweater Geranium Red XXL</t>
  </si>
  <si>
    <t>195203517896</t>
  </si>
  <si>
    <t>Riley Rae Amber Sun Tropical-Print Short Ruby Blush XL</t>
  </si>
  <si>
    <t>195203796918</t>
  </si>
  <si>
    <t>Riley Rae Michaela Tank Top Ultra White S</t>
  </si>
  <si>
    <t>195203794570</t>
  </si>
  <si>
    <t>Dickies Button-Fly Tie-Dye Cuffed Shor Navy White 15</t>
  </si>
  <si>
    <t>792831296171</t>
  </si>
  <si>
    <t>UE1TLL05</t>
  </si>
  <si>
    <t>DKNY Side-Twist Top BlackInk Multi L</t>
  </si>
  <si>
    <t>603556561287</t>
  </si>
  <si>
    <t>Bar III Plus Size Tie-Dye Camisole Fjord BlueNYC White 1X</t>
  </si>
  <si>
    <t>93488765783</t>
  </si>
  <si>
    <t>DKNY V-Neck Chiffon-Trim Top Tropical L</t>
  </si>
  <si>
    <t>795730517200</t>
  </si>
  <si>
    <t>W1BI09K49A1</t>
  </si>
  <si>
    <t>GUESS Gwen Printed Front-Cutout Top Motion Roses Black Combo S</t>
  </si>
  <si>
    <t>7624302131984</t>
  </si>
  <si>
    <t>Calvin Klein Plus Size Tie-Dye Logo T-Shirt Kensington Peach Kiss 1X</t>
  </si>
  <si>
    <t>195046162895</t>
  </si>
  <si>
    <t>Riley Rae Iris Puff-Shoulder Blouse Light Rose M</t>
  </si>
  <si>
    <t>195203510583</t>
  </si>
  <si>
    <t>Riley Rae Puff-Sleeve Tie-Front Top Soft Ecru XXS</t>
  </si>
  <si>
    <t>195203795256</t>
  </si>
  <si>
    <t>Riley Rae Puff-Sleeve Tie-Front Top Sweet Cherry L</t>
  </si>
  <si>
    <t>195203795362</t>
  </si>
  <si>
    <t>Riley Rae Ada Pants Ultra White XL</t>
  </si>
  <si>
    <t>195203684536</t>
  </si>
  <si>
    <t>Riley Rae Puff-Sleeve Dress Silver Heather XS</t>
  </si>
  <si>
    <t>195203515533</t>
  </si>
  <si>
    <t>MGPA02M-VXF</t>
  </si>
  <si>
    <t>Madden Girl Juniors Distressed High-Rise Light Wash 29</t>
  </si>
  <si>
    <t>193290700153</t>
  </si>
  <si>
    <t>Riley Rae Rue Gingham-Print Pants Legacy Pink 8</t>
  </si>
  <si>
    <t>195203521893</t>
  </si>
  <si>
    <t>Riley Rae Toni Top Ultra White XS</t>
  </si>
  <si>
    <t>195203396835</t>
  </si>
  <si>
    <t>W1DHN053</t>
  </si>
  <si>
    <t>Calvin Klein Plus Size Striped Tie-Hem Top BlackSoft White 1X</t>
  </si>
  <si>
    <t>195046057894</t>
  </si>
  <si>
    <t>BAM by Betsy Adam Tank Top with Attached Mask Navy S</t>
  </si>
  <si>
    <t>195170019560</t>
  </si>
  <si>
    <t>BAM by Betsy Adam Tank Top with Attached Mask Magenta XS</t>
  </si>
  <si>
    <t>195170019508</t>
  </si>
  <si>
    <t>Vince Camuto Womens Plus Size Sleeveless V Lush Eden 2X</t>
  </si>
  <si>
    <t>195203580746</t>
  </si>
  <si>
    <t>Riley Rae Jenn Striped-Side Jogger Pants Geranium Red M</t>
  </si>
  <si>
    <t>195203519401</t>
  </si>
  <si>
    <t>Seven7 Utility Shorts Tan 10</t>
  </si>
  <si>
    <t>194278195169</t>
  </si>
  <si>
    <t>T1CDNAAG</t>
  </si>
  <si>
    <t>Tommy Jeans Striped Midi Dress BlackBright White M</t>
  </si>
  <si>
    <t>195105709610</t>
  </si>
  <si>
    <t>T1CD0AAG</t>
  </si>
  <si>
    <t>Tommy Jeans Ribbed Midi Dress Sky Captain XS</t>
  </si>
  <si>
    <t>195105759707</t>
  </si>
  <si>
    <t>GUESS Kaia Sweater Tank Top CREAM WHITE XS</t>
  </si>
  <si>
    <t>195124138675</t>
  </si>
  <si>
    <t>GUESS Preya Plaited Bodysuit Mossy Green Multi S</t>
  </si>
  <si>
    <t>195124305732</t>
  </si>
  <si>
    <t>GUESS Kaia Sweater Tank Top CREAM WHITE M</t>
  </si>
  <si>
    <t>195124138644</t>
  </si>
  <si>
    <t>O1GA24MC03W</t>
  </si>
  <si>
    <t>GUESS Cropped Leggings All Over Logo Light Purple S</t>
  </si>
  <si>
    <t>7618483395037</t>
  </si>
  <si>
    <t>GUESS Cropped Leggings Allover Logo Grey S</t>
  </si>
  <si>
    <t>7618483394986</t>
  </si>
  <si>
    <t>P12HFGVR</t>
  </si>
  <si>
    <t>DKNY Solid Mixed-Media Puff-Sleeve Rose Quartz XS</t>
  </si>
  <si>
    <t>794278592960</t>
  </si>
  <si>
    <t>PF0X3336</t>
  </si>
  <si>
    <t>Calvin Klein Plus Size Tropical-Print Hoodi Canopy Sakura Combo 2X</t>
  </si>
  <si>
    <t>194414600120</t>
  </si>
  <si>
    <t>PF1X3971</t>
  </si>
  <si>
    <t>Calvin Klein Plus Size Logo-Graphic Pullove White 1X</t>
  </si>
  <si>
    <t>195046146673</t>
  </si>
  <si>
    <t>Calvin Klein Plus Size Logo-Graphic Pullove Pearl Grey Heather 1X</t>
  </si>
  <si>
    <t>195046146703</t>
  </si>
  <si>
    <t>PF1X8584</t>
  </si>
  <si>
    <t>Calvin Klein Plus Size Cotton Convertible B Black 2X</t>
  </si>
  <si>
    <t>195046201785</t>
  </si>
  <si>
    <t>M4374</t>
  </si>
  <si>
    <t>Champion Heritage Joggers Black M</t>
  </si>
  <si>
    <t>192503599515</t>
  </si>
  <si>
    <t>XD0TYC05</t>
  </si>
  <si>
    <t>DKNY Petite Printed Pleated-Trim To Deep Lagoon Blue Multi PXL</t>
  </si>
  <si>
    <t>795730559767</t>
  </si>
  <si>
    <t>Jessica Simpson Christina Printed Blouse Gardenia S</t>
  </si>
  <si>
    <t>8867161469</t>
  </si>
  <si>
    <t>TP16362P</t>
  </si>
  <si>
    <t>Tommy Hilfiger Womens Fine Rib Ankle-Length Black XL</t>
  </si>
  <si>
    <t>195105780862</t>
  </si>
  <si>
    <t>RSD0400</t>
  </si>
  <si>
    <t>Splendid Joey Cropped Hoodie Earl Grey L</t>
  </si>
  <si>
    <t>193666560862</t>
  </si>
  <si>
    <t>Tommy Hilfiger Plus Size High-Rise Logo Leggi Navy 1X</t>
  </si>
  <si>
    <t>195105977774</t>
  </si>
  <si>
    <t>J0DHN841</t>
  </si>
  <si>
    <t>Tommy Hilfiger Snap-Front Striped Camp Shirt Moxy Stripe- Porcelain Multi S</t>
  </si>
  <si>
    <t>190607280483</t>
  </si>
  <si>
    <t>Tommy Hilfiger Womens Colorblocked Dress Scarlet XXL</t>
  </si>
  <si>
    <t>195105777329</t>
  </si>
  <si>
    <t>Anne Klein Printed Sleeveless Top Cameilla Combo XL</t>
  </si>
  <si>
    <t>93488670650</t>
  </si>
  <si>
    <t>TP07950P</t>
  </si>
  <si>
    <t>Tommy Hilfiger Tommy Hilfiger Womens Sport H Black XS</t>
  </si>
  <si>
    <t>195105832981</t>
  </si>
  <si>
    <t>Tommy Hilfiger Womens Star-Print Cropped Jog Deep Blue M</t>
  </si>
  <si>
    <t>190607177127</t>
  </si>
  <si>
    <t>Tommy Hilfiger High-Rise Ribbed-Inset Legging Deep Blue L</t>
  </si>
  <si>
    <t>195105704738</t>
  </si>
  <si>
    <t>TP06381P</t>
  </si>
  <si>
    <t>Tommy Hilfiger Logo-Trim Leggings Storm Heather XL</t>
  </si>
  <si>
    <t>195105824856</t>
  </si>
  <si>
    <t>Tommy Hilfiger Womens Star-Print Cropped Jog Deep Blue S</t>
  </si>
  <si>
    <t>190607177134</t>
  </si>
  <si>
    <t>W1TH7805</t>
  </si>
  <si>
    <t>Calvin Klein Plus Size Solid Pocket-Front T Caper 0X</t>
  </si>
  <si>
    <t>195046363810</t>
  </si>
  <si>
    <t>Nine West Flare-Hem Pencil Skirt Black 14</t>
  </si>
  <si>
    <t>716357681631</t>
  </si>
  <si>
    <t>E1DLIHVT</t>
  </si>
  <si>
    <t>DKNY Jeans Cotton Tie-Dyed Pull-On Shorts Whitehyper Pink S</t>
  </si>
  <si>
    <t>794278616161</t>
  </si>
  <si>
    <t>Anne Klein Denim and Sport Womens Pull-On Denim Leggings Seabrook 6</t>
  </si>
  <si>
    <t>39513396614</t>
  </si>
  <si>
    <t>Anne Klein Denim and Sport Womens Pull-On Denim Leggings Santa Rosa 6</t>
  </si>
  <si>
    <t>39513395556</t>
  </si>
  <si>
    <t>Bar III Plus Size Scoop-Neck Tank DaylilyPink Punch 3X</t>
  </si>
  <si>
    <t>93488677468</t>
  </si>
  <si>
    <t>Tahari ASL Printed Smocked Blouse Shocking Pink Multi XSmall</t>
  </si>
  <si>
    <t>663309976744</t>
  </si>
  <si>
    <t>Vince Camuto Vince Camuto Plus Size Ruffle Passion Fruit 2X</t>
  </si>
  <si>
    <t>195203757414</t>
  </si>
  <si>
    <t>JAG JEANS/WESTERN GLOVE WORKS</t>
  </si>
  <si>
    <t>J2638331</t>
  </si>
  <si>
    <t>JAG JAG Womens Gracie 8 Shorts London Fog 8</t>
  </si>
  <si>
    <t>681283290786</t>
  </si>
  <si>
    <t>Riley Rae Patrice Pants Legacy Pink XXS</t>
  </si>
  <si>
    <t>195203525365</t>
  </si>
  <si>
    <t>J2001FBT</t>
  </si>
  <si>
    <t>Dickies Juniors Tie-Dyed Short Overal Lotus Pink M</t>
  </si>
  <si>
    <t>792831387343</t>
  </si>
  <si>
    <t>CeCe Ruffled V-Neck Blouse Aurora Pink S</t>
  </si>
  <si>
    <t>195203185309</t>
  </si>
  <si>
    <t>CeCe Ruffled V-Neck Blouse Garden Rose M</t>
  </si>
  <si>
    <t>195203412993</t>
  </si>
  <si>
    <t>T1AS0AGF</t>
  </si>
  <si>
    <t>Tommy Jeans Logo Crewneck Sweater Ivory Multi XL</t>
  </si>
  <si>
    <t>195105793374</t>
  </si>
  <si>
    <t>Tommy Jeans Distressed Denim Skirt Dark Wash 30</t>
  </si>
  <si>
    <t>195105779576</t>
  </si>
  <si>
    <t>T0AK2FAC</t>
  </si>
  <si>
    <t>Tommy Jeans Juniors Cropped Skinny Jeans Boundary 26</t>
  </si>
  <si>
    <t>190607354924</t>
  </si>
  <si>
    <t>Tommy Jeans Logo Hoodie Sweatshirt Sky Captain XL</t>
  </si>
  <si>
    <t>195105798461</t>
  </si>
  <si>
    <t>Tommy Jeans Logo Hoodie Sweatshirt Black XS</t>
  </si>
  <si>
    <t>195105786031</t>
  </si>
  <si>
    <t>PF1X4579</t>
  </si>
  <si>
    <t>Calvin Klein Plus Size Zipper Hoodie Juniper 1X</t>
  </si>
  <si>
    <t>195841951076</t>
  </si>
  <si>
    <t>BAM168</t>
  </si>
  <si>
    <t>BAM by Betsy Adam Long-Sleeve Top Attached Fac Navy S</t>
  </si>
  <si>
    <t>195170035331</t>
  </si>
  <si>
    <t>KC7280WT</t>
  </si>
  <si>
    <t>Kancan Kancan Womens High Rise Short White Medium</t>
  </si>
  <si>
    <t>840111920213</t>
  </si>
  <si>
    <t>DKNY Ruched Short-Sleeve Top Tropical XS</t>
  </si>
  <si>
    <t>795730515022</t>
  </si>
  <si>
    <t>Calvin Klein Plus Size Tie-Dyed Pullover Sw Kensington Lime Zest 1X</t>
  </si>
  <si>
    <t>195046158270</t>
  </si>
  <si>
    <t>P1BH7IMO</t>
  </si>
  <si>
    <t>DKNY Tulle-Overlay Top Yellow S</t>
  </si>
  <si>
    <t>794278835197</t>
  </si>
  <si>
    <t>XA1TYO02</t>
  </si>
  <si>
    <t>DKNY Petite Printed Tie-Neck Top Twilight Purple Multi PXS</t>
  </si>
  <si>
    <t>794278754788</t>
  </si>
  <si>
    <t>GUESS Amina Linen Corset Top Wispy Pink Multi XS</t>
  </si>
  <si>
    <t>195124167804</t>
  </si>
  <si>
    <t>O1GA01K68I1</t>
  </si>
  <si>
    <t>GUESS GUESS Embroidered Logo Sweatsh Light Melange Grey M</t>
  </si>
  <si>
    <t>7618483391848</t>
  </si>
  <si>
    <t>GUESS GUESS Ribbed Short-Sleeve Swea Minty Mist S</t>
  </si>
  <si>
    <t>195124169969</t>
  </si>
  <si>
    <t>GUESS GUESS Ribbed Short-Sleeve Swea OCEAN SALT XS</t>
  </si>
  <si>
    <t>195124123633</t>
  </si>
  <si>
    <t>Tommy Hilfiger Plus Size Colorblocked Logo Sn Scarlet 2X</t>
  </si>
  <si>
    <t>195105725122</t>
  </si>
  <si>
    <t>Tommy Hilfiger Plus Size Star Graphic Capri P Blue 2X</t>
  </si>
  <si>
    <t>190607169061</t>
  </si>
  <si>
    <t>Tommy Hilfiger Plus Size Star Graphic Capri P Black 1X</t>
  </si>
  <si>
    <t>190607168996</t>
  </si>
  <si>
    <t>Tommy Hilfiger Plus Size Star Graphic Capri P Blue 0X</t>
  </si>
  <si>
    <t>190607169047</t>
  </si>
  <si>
    <t>J0FMH112</t>
  </si>
  <si>
    <t>Tommy Hilfiger Cotton Oversized Plaid Shirt Yasmine Plaid- Red Multi XL</t>
  </si>
  <si>
    <t>190607233052</t>
  </si>
  <si>
    <t>J9EWR700</t>
  </si>
  <si>
    <t>Tommy Hilfiger Logo-Embroidered Cuffed Shorts St Claire 14</t>
  </si>
  <si>
    <t>192114335793</t>
  </si>
  <si>
    <t>TP10527T</t>
  </si>
  <si>
    <t>Tommy Hilfiger Tommy Hilfiger Sport Printed S Heritage Combo XL</t>
  </si>
  <si>
    <t>195105833629</t>
  </si>
  <si>
    <t>Tommy Hilfiger Waffle-Knit Hoodie Deep Blue XL</t>
  </si>
  <si>
    <t>195105780749</t>
  </si>
  <si>
    <t>J4JK2205</t>
  </si>
  <si>
    <t>Tommy Hilfiger Greenwich Bright Blue Wash Ski Bright Blue 10</t>
  </si>
  <si>
    <t>190607915132</t>
  </si>
  <si>
    <t>L1EHX890</t>
  </si>
  <si>
    <t>Karl Lagerfeld Paris Foiled Button-Shoulder Heart T Light HeatherSilver XL</t>
  </si>
  <si>
    <t>194775672446</t>
  </si>
  <si>
    <t>1.STATE Pull-On Jogging Pants Rich Black S</t>
  </si>
  <si>
    <t>195203530918</t>
  </si>
  <si>
    <t>1.STATE Tiered Midi Skirt Twilight Navy S</t>
  </si>
  <si>
    <t>195203603315</t>
  </si>
  <si>
    <t>CeCe Flutter-Sleeve Collared Top Soft Ecru XL</t>
  </si>
  <si>
    <t>195203424026</t>
  </si>
  <si>
    <t>Seven7 Shortalls Dusty Olive L</t>
  </si>
  <si>
    <t>194278195329</t>
  </si>
  <si>
    <t>Kasper Crepe Column Midi Skirt Black 12</t>
  </si>
  <si>
    <t>782417025806</t>
  </si>
  <si>
    <t>RSD060G</t>
  </si>
  <si>
    <t>Splendid Juniors Playa Acid-Wash Jogge Matcha S</t>
  </si>
  <si>
    <t>193666562484</t>
  </si>
  <si>
    <t>E11K4705</t>
  </si>
  <si>
    <t>DKNY Jeans Solid Bermuda Shorts Frangipani 25S</t>
  </si>
  <si>
    <t>794278757475</t>
  </si>
  <si>
    <t>B1105ZSOW</t>
  </si>
  <si>
    <t>Democracy Democracy Womens Ab Solutio White 16</t>
  </si>
  <si>
    <t>193596777774</t>
  </si>
  <si>
    <t>WL5722550611</t>
  </si>
  <si>
    <t>Champion The Boyfriend Cotton T-Shirt D White S</t>
  </si>
  <si>
    <t>194164022623</t>
  </si>
  <si>
    <t>TSMU1WS183</t>
  </si>
  <si>
    <t>Tahari ASL Twisted Midi Skirt Ivory 6</t>
  </si>
  <si>
    <t>635273832654</t>
  </si>
  <si>
    <t>71QGA</t>
  </si>
  <si>
    <t>French Connection Tommy Ribbed Bodycon Maxi Tank Blacksummer White L</t>
  </si>
  <si>
    <t>192942843903</t>
  </si>
  <si>
    <t>Calvin Klein Drawstring-Neck Top Soft White S</t>
  </si>
  <si>
    <t>194414215683</t>
  </si>
  <si>
    <t>M0MAZ547</t>
  </si>
  <si>
    <t>Calvin Klein Printed Tab-Sleeve Top Watermelon Combo M</t>
  </si>
  <si>
    <t>194414127597</t>
  </si>
  <si>
    <t>Kasper Pencil Skirt Lily White 6</t>
  </si>
  <si>
    <t>93488101932</t>
  </si>
  <si>
    <t>Kasper Printed Wide-Leg Pants FogBlack XL</t>
  </si>
  <si>
    <t>93488751779</t>
  </si>
  <si>
    <t>Bar III Plus Size Ankle Pants Charcoal Grey 18W</t>
  </si>
  <si>
    <t>93487759899</t>
  </si>
  <si>
    <t>Kasper Plus Size Sleeveless Tie-Neck Lily White 2X</t>
  </si>
  <si>
    <t>93488753711</t>
  </si>
  <si>
    <t>Kasper Petite Pencil Skirt Lily White 2P</t>
  </si>
  <si>
    <t>93488101994</t>
  </si>
  <si>
    <t>PF1X3906</t>
  </si>
  <si>
    <t>Calvin Klein Plus Size Dropped-Shoulder Hoo Pearl Grey Heather 1X</t>
  </si>
  <si>
    <t>195046513581</t>
  </si>
  <si>
    <t>DKNY Tweed Shorts Caribbivy 4</t>
  </si>
  <si>
    <t>795730533569</t>
  </si>
  <si>
    <t>1.STATE 1.STATE Square-Neck Peplum Top Bright Mulberry XL</t>
  </si>
  <si>
    <t>195203533087</t>
  </si>
  <si>
    <t>1.STATE 1.STATE Rib-Knit Bubble Sleeve Plum Fairy XXS</t>
  </si>
  <si>
    <t>195203169682</t>
  </si>
  <si>
    <t>81215310J5</t>
  </si>
  <si>
    <t>1.STATE Smocked Eyelet Top Soft Ecru XXS</t>
  </si>
  <si>
    <t>195203638928</t>
  </si>
  <si>
    <t>81115379A2</t>
  </si>
  <si>
    <t>1.STATE Floral-Print Smocked Top Floral Twilight M</t>
  </si>
  <si>
    <t>195203604800</t>
  </si>
  <si>
    <t>CeCe Solid Crepe Pants Rich Black 14</t>
  </si>
  <si>
    <t>193768714101</t>
  </si>
  <si>
    <t>Kasper Petite V-Neck Sheath Dress Black 4P</t>
  </si>
  <si>
    <t>716357382378</t>
  </si>
  <si>
    <t>Kasper Tab-Waist Trouser Pants Black 8P</t>
  </si>
  <si>
    <t>716357725458</t>
  </si>
  <si>
    <t>Kasper Tab-Waist Trouser Pants Black 4P</t>
  </si>
  <si>
    <t>716357725434</t>
  </si>
  <si>
    <t>Kasper Tab-Waist Trouser Pants Black 6P</t>
  </si>
  <si>
    <t>716357725441</t>
  </si>
  <si>
    <t>Kasper Tab-Waist Trouser Pants Indigo 4P</t>
  </si>
  <si>
    <t>716357770007</t>
  </si>
  <si>
    <t>W0CD0473</t>
  </si>
  <si>
    <t>Tommy Hilfiger Plus Size Eyelet-Overlay Dress White 1X</t>
  </si>
  <si>
    <t>190607310128</t>
  </si>
  <si>
    <t>J0KEH390</t>
  </si>
  <si>
    <t>Tommy Hilfiger Colorblocked Zip-Front Hoodie Sky Captain Multi XL</t>
  </si>
  <si>
    <t>195105845929</t>
  </si>
  <si>
    <t>TP10705X</t>
  </si>
  <si>
    <t>Tommy Hilfiger Plus Size Drop-Shoulder Hoodie Deep Blue 1X</t>
  </si>
  <si>
    <t>195105728840</t>
  </si>
  <si>
    <t>PF0X6054</t>
  </si>
  <si>
    <t>Calvin Klein Plus Size Capri Pants Black 1X</t>
  </si>
  <si>
    <t>195046963720</t>
  </si>
  <si>
    <t>W1YR1BZ2U00</t>
  </si>
  <si>
    <t>GUESS GUESS Ribbed Short-Sleeve Swea Ice Aqua L</t>
  </si>
  <si>
    <t>7620207177386</t>
  </si>
  <si>
    <t>W1GH48R3IX0</t>
  </si>
  <si>
    <t>GUESS Larisen Cotton Eyelet Peplum T Lichen Leaf Green Multi XS</t>
  </si>
  <si>
    <t>195124167415</t>
  </si>
  <si>
    <t>W1GD34R3DN2</t>
  </si>
  <si>
    <t>GUESS 1981 Denim Midi Shorts Optic White 29</t>
  </si>
  <si>
    <t>195124190147</t>
  </si>
  <si>
    <t>Kasper Tab-Waist Trouser Pants Black 18</t>
  </si>
  <si>
    <t>716357725328</t>
  </si>
  <si>
    <t>Riley Rae Drapey Gauze Tiered Dress Coral Reef 27 US 4</t>
  </si>
  <si>
    <t>195203797434</t>
  </si>
  <si>
    <t>Riley Rae Drapey Gauze Tiered Dress Preppy Navy 30 US 10</t>
  </si>
  <si>
    <t>195203797380</t>
  </si>
  <si>
    <t>Riley Rae Drapey Gauze Tiered Dress Calm Desert 30 US 10</t>
  </si>
  <si>
    <t>195203797304</t>
  </si>
  <si>
    <t>Calvin Klein Petite Highline Slim Pants Black 6P</t>
  </si>
  <si>
    <t>888738859196</t>
  </si>
  <si>
    <t>Calvin Klein Petite Highline Slim Pants Black 8P</t>
  </si>
  <si>
    <t>888738859189</t>
  </si>
  <si>
    <t>BAM by Betsy Adam Hoodie with Built-In Mask, Cre Black XL</t>
  </si>
  <si>
    <t>195170018945</t>
  </si>
  <si>
    <t>BAM by Betsy Adam Hoodie with Built-In Mask, Cre Black M</t>
  </si>
  <si>
    <t>195170018921</t>
  </si>
  <si>
    <t>Riley Rae Amanda Tropical-Print Dress Ruby Blush L</t>
  </si>
  <si>
    <t>195203796765</t>
  </si>
  <si>
    <t>Calvin Klein Stretch Cotton Twill Pants Soft White 16</t>
  </si>
  <si>
    <t>195046243358</t>
  </si>
  <si>
    <t>Calvin Klein Stretch Cotton Twill Pants Soft White 8</t>
  </si>
  <si>
    <t>195046243396</t>
  </si>
  <si>
    <t>M0MKC275</t>
  </si>
  <si>
    <t>Calvin Klein Tie Front Wide Leg Pants Soft White L</t>
  </si>
  <si>
    <t>194414458691</t>
  </si>
  <si>
    <t>Calvin Klein Stretch Cotton Twill Pants Soft White 6</t>
  </si>
  <si>
    <t>195046243402</t>
  </si>
  <si>
    <t>M1BKG249</t>
  </si>
  <si>
    <t>Calvin Klein Stretch Cotton Twill Pants Caper 14</t>
  </si>
  <si>
    <t>195046352272</t>
  </si>
  <si>
    <t>P0FKTF37</t>
  </si>
  <si>
    <t>DKNY Wide-Leg Paperbag-Waist Pants Spring Indigo M</t>
  </si>
  <si>
    <t>795730491708</t>
  </si>
  <si>
    <t>DKNY Wide-Leg Paperbag-Waist Pants Spring Indigo XS</t>
  </si>
  <si>
    <t>795730491746</t>
  </si>
  <si>
    <t>W8PDN828</t>
  </si>
  <si>
    <t>Calvin Klein Plus Size Striped Dress TwilightWhite 1X</t>
  </si>
  <si>
    <t>191797152222</t>
  </si>
  <si>
    <t>Calvin Klein Plus Size Striped Dress TwilightWhite 0X</t>
  </si>
  <si>
    <t>191797152192</t>
  </si>
  <si>
    <t>SHELL: POLYESTER/RAYON/SPANDEX</t>
  </si>
  <si>
    <t>HSVP0022</t>
  </si>
  <si>
    <t>Tommy Hilfiger Modern Pants Midnight 14</t>
  </si>
  <si>
    <t>190607984817</t>
  </si>
  <si>
    <t>Kasper Plus Size Elastic-Back Pants Lily White 22W</t>
  </si>
  <si>
    <t>93488085751</t>
  </si>
  <si>
    <t>BAM by Betsy Adam Tie-Dyed Pullover Top With Att Black Cloud S</t>
  </si>
  <si>
    <t>195170020610</t>
  </si>
  <si>
    <t>NYDJ Drawstring Cargo Shorts in Str Moss 12</t>
  </si>
  <si>
    <t>194477222741</t>
  </si>
  <si>
    <t>76J1574</t>
  </si>
  <si>
    <t>Tommy Hilfiger Womens Logo Hoodie with Exten Grey Heather XXL</t>
  </si>
  <si>
    <t>8763881676</t>
  </si>
  <si>
    <t>W1YH0UW70Q2</t>
  </si>
  <si>
    <t>GUESS Clouis Printed Shirt Abstract Feeling Aqua Combo S</t>
  </si>
  <si>
    <t>7620207156800</t>
  </si>
  <si>
    <t>GUESS Surfari Cargo Skirt Tie Dye Zebra Print Blue 10</t>
  </si>
  <si>
    <t>195124296788</t>
  </si>
  <si>
    <t>GUESS Agnes Sweater Skirt Cream White S</t>
  </si>
  <si>
    <t>7620207155766</t>
  </si>
  <si>
    <t>L1EA6513</t>
  </si>
  <si>
    <t>Karl Lagerfeld Paris Printed 34-Sleeve Button-Down Tomato Multi XL</t>
  </si>
  <si>
    <t>194775671302</t>
  </si>
  <si>
    <t>Kasper Petite Pull-On Ankle Pants Charcoal 2P</t>
  </si>
  <si>
    <t>93488458456</t>
  </si>
  <si>
    <t>Tahari ASL Paperbag-Waist Cropped Pants Dynasty Green 14</t>
  </si>
  <si>
    <t>663309975242</t>
  </si>
  <si>
    <t>Anne Klein V-Neck Trapeze Dress Calypso Blue S</t>
  </si>
  <si>
    <t>93488696308</t>
  </si>
  <si>
    <t>Calvin Klein Belted Wide-Leg Cropped Pants Black 8</t>
  </si>
  <si>
    <t>193623065911</t>
  </si>
  <si>
    <t>T0EK6FZF</t>
  </si>
  <si>
    <t>Tommy Jeans Distressed Skinny Ankle Jeans Elliot 26</t>
  </si>
  <si>
    <t>190607207183</t>
  </si>
  <si>
    <t>P0ED7EJR</t>
  </si>
  <si>
    <t>DKNY Asymmetrical Sleeveless Dress Paradi Red M</t>
  </si>
  <si>
    <t>795730484007</t>
  </si>
  <si>
    <t>DKNY Asymmetrical Sleeveless Dress Arizona Earth M</t>
  </si>
  <si>
    <t>795730492026</t>
  </si>
  <si>
    <t>P0DD7FHP</t>
  </si>
  <si>
    <t>DKNY Striped Sleeveless Flutter-Hem Black Ivory Multi XL</t>
  </si>
  <si>
    <t>795730536584</t>
  </si>
  <si>
    <t>Riley Rae Scarlett Seersucker Jumpsuit Ultra White 6</t>
  </si>
  <si>
    <t>195203778235</t>
  </si>
  <si>
    <t>DKNY Essex Ankle Pants Baltic Blue 4P</t>
  </si>
  <si>
    <t>795730560268</t>
  </si>
  <si>
    <t>Kasper Plus Size Tiered Gauze Midi Sk White 2X</t>
  </si>
  <si>
    <t>93488748915</t>
  </si>
  <si>
    <t>Kasper Plus Size Cropped Ankle Pants Mariner Blue 18W</t>
  </si>
  <si>
    <t>93488300410</t>
  </si>
  <si>
    <t>W1CAE647</t>
  </si>
  <si>
    <t>Calvin Klein Plus Size Embroidered Scoop-Ne Soft White 0X</t>
  </si>
  <si>
    <t>195046302383</t>
  </si>
  <si>
    <t>BAM by Betsy Adam Zip Up Hoodie Removable Tie- NavyTie Dye XL</t>
  </si>
  <si>
    <t>195170020443</t>
  </si>
  <si>
    <t>MDTFSH8182</t>
  </si>
  <si>
    <t>NYDJ A-Line Denim Shorts Horizon 6</t>
  </si>
  <si>
    <t>194477216184</t>
  </si>
  <si>
    <t>320D088</t>
  </si>
  <si>
    <t>Royalty by Maluma Rhinestone-Button Mini Dress Delicate Blue 0</t>
  </si>
  <si>
    <t>190917347524</t>
  </si>
  <si>
    <t>W1GB20RCWA1</t>
  </si>
  <si>
    <t>GUESS Tessa Linen Culotte Pants Fade To Jade S</t>
  </si>
  <si>
    <t>195124164841</t>
  </si>
  <si>
    <t>L1BA9665</t>
  </si>
  <si>
    <t>Karl Lagerfeld Paris Karl Lagerfeld Logo Taped Blou Open White Small</t>
  </si>
  <si>
    <t>194775763342</t>
  </si>
  <si>
    <t>Kasper Petite Denim Split Neck Tie Wa Denim 2P</t>
  </si>
  <si>
    <t>93488751601</t>
  </si>
  <si>
    <t>Kasper Petite Denim Split Neck Tie Wa Denim 8P</t>
  </si>
  <si>
    <t>93488751632</t>
  </si>
  <si>
    <t>INC International Concepts Floral-Print Chiffon A-Line Dr Black Coastal Multi 10</t>
  </si>
  <si>
    <t>93488288312</t>
  </si>
  <si>
    <t>INC International Concepts Chiffon Maxi Dress Periwinkle 10</t>
  </si>
  <si>
    <t>93488289067</t>
  </si>
  <si>
    <t>SS2117</t>
  </si>
  <si>
    <t>LNA Racer Crop Tank Top Dark Olive XL</t>
  </si>
  <si>
    <t>840201213393</t>
  </si>
  <si>
    <t>FB-TO113</t>
  </si>
  <si>
    <t>Alala Barre Seamless Crop Top White L</t>
  </si>
  <si>
    <t>843263123945</t>
  </si>
  <si>
    <t>95% RAYON/5% SPANDEX</t>
  </si>
  <si>
    <t>CW2014</t>
  </si>
  <si>
    <t>LNA Dylan Ribbed Tank Top White XL</t>
  </si>
  <si>
    <t>841619178045</t>
  </si>
  <si>
    <t>X97JL165</t>
  </si>
  <si>
    <t>Calvin Klein Plus Size Lux Roll-Tab Blazer Aubergine 18W</t>
  </si>
  <si>
    <t>193623299576</t>
  </si>
  <si>
    <t>BAM by Betsy Adam Tie-Dyed Cropped Zip-Up Hoodie Tie Dye Multiwhite S</t>
  </si>
  <si>
    <t>195170020665</t>
  </si>
  <si>
    <t>Calvin Klein Plus Size Belted Ankle-Length Luggage 20W</t>
  </si>
  <si>
    <t>193623037307</t>
  </si>
  <si>
    <t>Calvin Klein Plus Size Belted Ankle-Length Luggage 16W</t>
  </si>
  <si>
    <t>193623037321</t>
  </si>
  <si>
    <t>Vince Camuto Womens Plus Size Long Sleeve Soft Peony 20W</t>
  </si>
  <si>
    <t>195203369556</t>
  </si>
  <si>
    <t>Kasper Plus Size Open-Front Cardigan Willow 2X</t>
  </si>
  <si>
    <t>93488750338</t>
  </si>
  <si>
    <t>GUESS GUESS Cutout-Back Sleeveless S Wildflower Pink Multi XL</t>
  </si>
  <si>
    <t>195124134981</t>
  </si>
  <si>
    <t>DKNY Mixed-Media Asymmetrical-Hem M White XL</t>
  </si>
  <si>
    <t>795730514681</t>
  </si>
  <si>
    <t>P0DD8FML</t>
  </si>
  <si>
    <t>DKNY Animal-Print Drawstring T-Shir Ivory Caribbean Black Multi M</t>
  </si>
  <si>
    <t>795730527568</t>
  </si>
  <si>
    <t>2415M</t>
  </si>
  <si>
    <t>Taylor Floral-Print Flared Shirtdress Bluebellraisin 10</t>
  </si>
  <si>
    <t>194686156776</t>
  </si>
  <si>
    <t>SHELL: POLYESTER/ELASTANE/SPANDEX; SLIP: POLYESTER/SPANDEX</t>
  </si>
  <si>
    <t>W0GK64R2X54</t>
  </si>
  <si>
    <t>GUESS Nadine Sheer Printed Bodycon D Water Marble Print XS</t>
  </si>
  <si>
    <t>195124189646</t>
  </si>
  <si>
    <t>W1FK18K4JZ1</t>
  </si>
  <si>
    <t>GUESS Lysandra Sleeveless Dress Jet Black L</t>
  </si>
  <si>
    <t>195124254979</t>
  </si>
  <si>
    <t>24AV/MD/RG</t>
  </si>
  <si>
    <t>WBGA08S49T0</t>
  </si>
  <si>
    <t>GUESS GUESS Cropped 1981 Straight-Le Growler Wash 24</t>
  </si>
  <si>
    <t>195124170880</t>
  </si>
  <si>
    <t>DKNY Skinny Ankle Pants Light Gray Heather 2</t>
  </si>
  <si>
    <t>802892580031</t>
  </si>
  <si>
    <t>LNA Ribbed Top White L</t>
  </si>
  <si>
    <t>841619173903</t>
  </si>
  <si>
    <t>LNA Ribbed Top White XL</t>
  </si>
  <si>
    <t>841619173910</t>
  </si>
  <si>
    <t>M0PDN058</t>
  </si>
  <si>
    <t>Calvin Klein Calvin Klein Mixed Combo Maxi WhiteBlue S</t>
  </si>
  <si>
    <t>194414221363</t>
  </si>
  <si>
    <t>Anne Klein Tie-Waist Midi Dress Anne Black M</t>
  </si>
  <si>
    <t>93488292333</t>
  </si>
  <si>
    <t>CeCe Scalloped Wide-Leg Jumpsuit Cherry Rose 10</t>
  </si>
  <si>
    <t>193768635796</t>
  </si>
  <si>
    <t>Kasper Shawl-Collar Open-Front Blazer Ivory 10</t>
  </si>
  <si>
    <t>93487798720</t>
  </si>
  <si>
    <t>S17-SH10</t>
  </si>
  <si>
    <t>Alala Court Shorts White XS</t>
  </si>
  <si>
    <t>816831027310</t>
  </si>
  <si>
    <t>71QOY</t>
  </si>
  <si>
    <t>French Connection Cotton Puff-Sleeve Dress Wild Rosa 0</t>
  </si>
  <si>
    <t>192942912173</t>
  </si>
  <si>
    <t>P0DB7FZY</t>
  </si>
  <si>
    <t>DKNY Printed Ruched Tiered Maxi Dre Ivory Caribbean Black Multi S</t>
  </si>
  <si>
    <t>795730536362</t>
  </si>
  <si>
    <t>W1GD12RBYE1</t>
  </si>
  <si>
    <t>GUESS Lea Palazzo Jumpsuit Grecian Blue M</t>
  </si>
  <si>
    <t>195124154378</t>
  </si>
  <si>
    <t>W1GAB4S3AF0</t>
  </si>
  <si>
    <t>GUESS GUESS Printed 1981 Skinny Jean Faded Tie Dye 26</t>
  </si>
  <si>
    <t>195124141255</t>
  </si>
  <si>
    <t>GUESS Charlotte Off-The-Shoulder Min Pure White XS</t>
  </si>
  <si>
    <t>193327680021</t>
  </si>
  <si>
    <t>GUESS Lea Palazzo Jumpsuit Grecian Blue L</t>
  </si>
  <si>
    <t>195124154392</t>
  </si>
  <si>
    <t>City Studios Trendy Plus Size Embellished I Pink 18W</t>
  </si>
  <si>
    <t>708008550342</t>
  </si>
  <si>
    <t>City Studios Trendy Plus Size Embellished I Pink 20W</t>
  </si>
  <si>
    <t>708008550359</t>
  </si>
  <si>
    <t>Anne Klein Notch-Collar Wrap Dress Poppywhite 2</t>
  </si>
  <si>
    <t>93488236931</t>
  </si>
  <si>
    <t>NYDJ Relaxed Trouser Pants in Stret Warm Sand 10</t>
  </si>
  <si>
    <t>194477223175</t>
  </si>
  <si>
    <t>Le Suit Petite Notch-Collar Pantsuit Indigo Blue 14</t>
  </si>
  <si>
    <t>93488339762</t>
  </si>
  <si>
    <t>VC1M2742</t>
  </si>
  <si>
    <t>Vince Camuto Chiffon Flutter-Sleeve Dress Coral 4</t>
  </si>
  <si>
    <t>194592894175</t>
  </si>
  <si>
    <t>Tommy Jeans Logo Denim Overalls Boundary 27</t>
  </si>
  <si>
    <t>190607354733</t>
  </si>
  <si>
    <t>190607354757</t>
  </si>
  <si>
    <t>Tommy Jeans Logo Denim Overalls Boundary 26</t>
  </si>
  <si>
    <t>195105789988</t>
  </si>
  <si>
    <t>190607354740</t>
  </si>
  <si>
    <t>Tommy Jeans Logo Denim Overalls Boundary 29</t>
  </si>
  <si>
    <t>190607354719</t>
  </si>
  <si>
    <t>Tommy Jeans Logo Denim Overalls Boundary 31</t>
  </si>
  <si>
    <t>190607354696</t>
  </si>
  <si>
    <t>CeCe Ruffled Floral-Print Dress Hot Lava XS</t>
  </si>
  <si>
    <t>193768619659</t>
  </si>
  <si>
    <t>TLMU1WD049</t>
  </si>
  <si>
    <t>Tahari ASL Printed Crinkle Ruffled-Neck D Ivory Lapis 10</t>
  </si>
  <si>
    <t>663309986477</t>
  </si>
  <si>
    <t>GUESS Tristian Belted Dress Face M Bleached Tropical Print 0</t>
  </si>
  <si>
    <t>195124303745</t>
  </si>
  <si>
    <t>EGC2UC6122</t>
  </si>
  <si>
    <t>Sam Edelman Cuffed Belted Utility Shorts Mustard 12</t>
  </si>
  <si>
    <t>193653395712</t>
  </si>
  <si>
    <t>Sam Edelman Cuffed Belted Utility Shorts Khaki 10</t>
  </si>
  <si>
    <t>193653395590</t>
  </si>
  <si>
    <t>Sam Edelman Cuffed Belted Utility Shorts Leaf 10</t>
  </si>
  <si>
    <t>193653395484</t>
  </si>
  <si>
    <t>MBDMAS2320</t>
  </si>
  <si>
    <t>NYDJ Ami Skinny Jeans Black 10</t>
  </si>
  <si>
    <t>889982761495</t>
  </si>
  <si>
    <t>MFOZKA3014</t>
  </si>
  <si>
    <t>NYDJ Teresa Wide-Leg Ankle Jeans Fruit Punch 14</t>
  </si>
  <si>
    <t>194477161460</t>
  </si>
  <si>
    <t>VC0M1549</t>
  </si>
  <si>
    <t>Vince Camuto Lace Shift Dress Ivory 4</t>
  </si>
  <si>
    <t>689886088366</t>
  </si>
  <si>
    <t>JEN7 Striped Denim Skirt Nautical Stripe 2</t>
  </si>
  <si>
    <t>190392936435</t>
  </si>
  <si>
    <t>Anne Klein Plus Size Printed Belted Fit Yosemite Aster Combo 18W</t>
  </si>
  <si>
    <t>93488276746</t>
  </si>
  <si>
    <t>Kasper Plus Size Faux-Double-Breasted Lily White 16W</t>
  </si>
  <si>
    <t>93488085256</t>
  </si>
  <si>
    <t>Anne Klein Tie-Waist Shirtdress Camellia 6</t>
  </si>
  <si>
    <t>93488669999</t>
  </si>
  <si>
    <t>HARPER ROSE Sleeveless Roll-Neck Midi Dres Navy 14</t>
  </si>
  <si>
    <t>194592876812</t>
  </si>
  <si>
    <t>HARPER ROSE Sleeveless Roll-Neck Midi Dres Navy 4</t>
  </si>
  <si>
    <t>194592876867</t>
  </si>
  <si>
    <t>Eileen Fisher Boxy V-Neck Top Black XS</t>
  </si>
  <si>
    <t>193481632782</t>
  </si>
  <si>
    <t>W0GK0UWCUW0</t>
  </si>
  <si>
    <t>GUESS Cindra Printed Jumpsuit Vintage African Leaves Combo XS</t>
  </si>
  <si>
    <t>7618584427057</t>
  </si>
  <si>
    <t>LNA Calvin One-Shoulder Bodysuit Greenish XS</t>
  </si>
  <si>
    <t>840201212754</t>
  </si>
  <si>
    <t>Kasper Plus Size Printed Jacquard Win Valencia Orange Multi 24W</t>
  </si>
  <si>
    <t>93488084341</t>
  </si>
  <si>
    <t>From Grayscale Shimmer Cropped Vest Rose Gold M</t>
  </si>
  <si>
    <t>850029373384</t>
  </si>
  <si>
    <t>From Grayscale Shimmer Cropped Vest Silver L</t>
  </si>
  <si>
    <t>850029373643</t>
  </si>
  <si>
    <t>From Grayscale Shimmer Cropped Vest Rose Gold S</t>
  </si>
  <si>
    <t>850029373377</t>
  </si>
  <si>
    <t>7G800352</t>
  </si>
  <si>
    <t>JEN7 Cropped Skinny-Leg Jeans Fuchsia 18</t>
  </si>
  <si>
    <t>190392936299</t>
  </si>
  <si>
    <t>JEN7 Sculpting Boyfriend Jeans Bayview 0</t>
  </si>
  <si>
    <t>190392929529</t>
  </si>
  <si>
    <t>Tahari ASL Peak-Collar Blazer New Navy 14P</t>
  </si>
  <si>
    <t>191151396927</t>
  </si>
  <si>
    <t>VC0M1574</t>
  </si>
  <si>
    <t>Vince Camuto Floral-Print Jacquard Fit Fl Coral 4</t>
  </si>
  <si>
    <t>689886061307</t>
  </si>
  <si>
    <t>Vince Camuto Floral-Print Jacquard Fit Fl Coral 6</t>
  </si>
  <si>
    <t>689886061291</t>
  </si>
  <si>
    <t>97% POLYESTER / 3% ELASTANE; LINING: 100% POLYESTER</t>
  </si>
  <si>
    <t>71QFA</t>
  </si>
  <si>
    <t>French Connection Elao Printed Draped Puff-Sleev Fiery Red Multi 2</t>
  </si>
  <si>
    <t>192942838213</t>
  </si>
  <si>
    <t>RS1A060</t>
  </si>
  <si>
    <t>Splendid Solid Print Jogger Pants Fig S</t>
  </si>
  <si>
    <t>193666508499</t>
  </si>
  <si>
    <t>Splendid Splendid Printed Drawstring Sh Peach Multi L</t>
  </si>
  <si>
    <t>193666504880</t>
  </si>
  <si>
    <t>LDR0439NY73</t>
  </si>
  <si>
    <t>Barbour Striped Bayside Drawcord-Waist Navy 12</t>
  </si>
  <si>
    <t>194972310547</t>
  </si>
  <si>
    <t>L1GB9911</t>
  </si>
  <si>
    <t>Karl Lagerfeld Paris Contrast-Trim Drawstring Dress Black M</t>
  </si>
  <si>
    <t>194775584930</t>
  </si>
  <si>
    <t>Tahari ASL Plaid Fringe-Trim Blazer KeylimeBlack 2</t>
  </si>
  <si>
    <t>663309996247</t>
  </si>
  <si>
    <t>7G017510</t>
  </si>
  <si>
    <t>JEN7 Scalloped-Hem Straight-Leg Ank White 12</t>
  </si>
  <si>
    <t>190392928843</t>
  </si>
  <si>
    <t>GUESS Bella Printed Denim Jacket Hollywood Pop Rose XS</t>
  </si>
  <si>
    <t>7618483458244</t>
  </si>
  <si>
    <t>GUESS Bella Printed Denim Jacket Hollywood Pop Rose XL</t>
  </si>
  <si>
    <t>7618483458282</t>
  </si>
  <si>
    <t>LNA Cotton Distressed Raw-Hem Shor Heather Pink XL</t>
  </si>
  <si>
    <t>840201218992</t>
  </si>
  <si>
    <t>7 For All Mankind Monroe Cutoff Denim Shorts Eclipse Black 28</t>
  </si>
  <si>
    <t>190392925033</t>
  </si>
  <si>
    <t>Eileen Fisher Mandarin-Collar Shirt Natrl PP</t>
  </si>
  <si>
    <t>193481734554</t>
  </si>
  <si>
    <t>ELJFAB8000</t>
  </si>
  <si>
    <t>Sam Edelman Jazzi Cotton Puff-Sleeve Denim Arbella M</t>
  </si>
  <si>
    <t>193653307852</t>
  </si>
  <si>
    <t>EILEEN FISHER SYSTEM/EILEEN FISHER</t>
  </si>
  <si>
    <t>SBFTJ-T0264P</t>
  </si>
  <si>
    <t>Eileen Fisher Solid Turtleneck Top Black PL</t>
  </si>
  <si>
    <t>193481444804</t>
  </si>
  <si>
    <t>LSH1405BL38</t>
  </si>
  <si>
    <t>Barbour Lothian Cotton Printed Shirt Blue Tartan 6</t>
  </si>
  <si>
    <t>194972223878</t>
  </si>
  <si>
    <t>68% COTTON/15% POLYESTER/10% LYOCELL/5% ELASTANE/2% SPANDEX</t>
  </si>
  <si>
    <t>7 For All Mankind The Ankle Skinny Jeans Grace Blue 25</t>
  </si>
  <si>
    <t>190392922001</t>
  </si>
  <si>
    <t>7 For All Mankind Monroe Cotton Cutoff Denim Sho Pisces Blue Rigid 28</t>
  </si>
  <si>
    <t>190392926047</t>
  </si>
  <si>
    <t>Eileen Fisher Eileen Fisher Slim Cropped Pan Casis PM</t>
  </si>
  <si>
    <t>193481725279</t>
  </si>
  <si>
    <t>7 For All Mankind Josefina Boyfriend Jeans Formosa 27</t>
  </si>
  <si>
    <t>190392979395</t>
  </si>
  <si>
    <t>7 For All Mankind Josefina Boyfriend Jeans Formosa 29</t>
  </si>
  <si>
    <t>190392979418</t>
  </si>
  <si>
    <t>7U005887</t>
  </si>
  <si>
    <t>7 For All Mankind Skinny Ankle Jeans Serenity Blue 28</t>
  </si>
  <si>
    <t>190392921554</t>
  </si>
  <si>
    <t>7 For All Mankind Aubrey Skinny Jeans Peace Blue 28</t>
  </si>
  <si>
    <t>190392920359</t>
  </si>
  <si>
    <t>S1AEB-D4977M</t>
  </si>
  <si>
    <t>Eileen Fisher Organic Cotton Knit Dress White S</t>
  </si>
  <si>
    <t>193481644358</t>
  </si>
  <si>
    <t>Eileen Fisher Pull-On Pants Charcoal XXS</t>
  </si>
  <si>
    <t>193481496681</t>
  </si>
  <si>
    <t>Dauntless Cotton Maisie Zipped Denim Jac White M</t>
  </si>
  <si>
    <t>850027946160</t>
  </si>
  <si>
    <t>7U301330</t>
  </si>
  <si>
    <t>7 For All Mankind Kimmie Straight-Leg Jeans Sunlight Blue 24</t>
  </si>
  <si>
    <t>190392922353</t>
  </si>
  <si>
    <t>Eileen Fisher Ribbed Sheath Dress Deep Terra Cotta L</t>
  </si>
  <si>
    <t>193481630412</t>
  </si>
  <si>
    <t>100% ORGANIC LINEN</t>
  </si>
  <si>
    <t>S1OEJ-K5181P</t>
  </si>
  <si>
    <t>Eileen Fisher Organic Linen Cardigan Seaweed PM</t>
  </si>
  <si>
    <t>193481653336</t>
  </si>
  <si>
    <t>Weekend Max Mara Macbeth Cotton Sweater Bordeaux XS</t>
  </si>
  <si>
    <t>8051312380412</t>
  </si>
  <si>
    <t>Weekend Max Mara Macbeth Cotton Sweater Bordeaux L</t>
  </si>
  <si>
    <t>8051312258490</t>
  </si>
  <si>
    <t>Riley Rae Harper Turtleneck Top Preppy Pink M</t>
  </si>
  <si>
    <t>195203153377</t>
  </si>
  <si>
    <t>IKEDDI ENTERPRISES INC</t>
  </si>
  <si>
    <t>RK519290X</t>
  </si>
  <si>
    <t>Ultra Flirt Trendy Plus Size Tie-Dyed Dres Red Tie Dye 1X</t>
  </si>
  <si>
    <t>190744989393</t>
  </si>
  <si>
    <t>J3304JTD1346B</t>
  </si>
  <si>
    <t>Dickies Cropped Tie-Dyed T-Shirt Open XS</t>
  </si>
  <si>
    <t>792831374596</t>
  </si>
  <si>
    <t>MILLENNIAL PLUS DRESS/GOLDEN TOUCH</t>
  </si>
  <si>
    <t>AAXU855</t>
  </si>
  <si>
    <t>Planet Gold Trendy Plus Size Off-The-Shoul Black Pinstripe 2X</t>
  </si>
  <si>
    <t>758116728980</t>
  </si>
  <si>
    <t>Tommy Jeans Cotton V-Neck Logo T-Shirt Bright White S</t>
  </si>
  <si>
    <t>195105709863</t>
  </si>
  <si>
    <t>J0FH0401</t>
  </si>
  <si>
    <t>Tommy Hilfiger Short-Sleeve Polo Tea Rose XL</t>
  </si>
  <si>
    <t>190607223015</t>
  </si>
  <si>
    <t>GENERATION HR SHORT</t>
  </si>
  <si>
    <t>8868792129</t>
  </si>
  <si>
    <t>8866572761</t>
  </si>
  <si>
    <t>8866572754</t>
  </si>
  <si>
    <t>Riley Rae Cotton Cosette Puff-Sleeve Swe Antique White XXL</t>
  </si>
  <si>
    <t>195203395982</t>
  </si>
  <si>
    <t>H13TX93B</t>
  </si>
  <si>
    <t>Tommy Hilfiger Button-Detail Top Midnight Ivory S</t>
  </si>
  <si>
    <t>195105703373</t>
  </si>
  <si>
    <t>Riley Rae Smocked Bodice Tank Top Preppy Navy S</t>
  </si>
  <si>
    <t>195203523705</t>
  </si>
  <si>
    <t>Riley Rae Audrey Top Coral Cream XL</t>
  </si>
  <si>
    <t>195203397221</t>
  </si>
  <si>
    <t>H14TX98A</t>
  </si>
  <si>
    <t>Tommy Hilfiger Pleated-Sleeve V-Neck Top Ivory M</t>
  </si>
  <si>
    <t>195105671474</t>
  </si>
  <si>
    <t>X13TK83A</t>
  </si>
  <si>
    <t>Calvin Klein Plus Size Crewneck Sweater Papaya 1X</t>
  </si>
  <si>
    <t>195046283828</t>
  </si>
  <si>
    <t>M0PHE801</t>
  </si>
  <si>
    <t>Calvin Klein Calvin Klein Striped Split-Sle TwilightWhite M</t>
  </si>
  <si>
    <t>194414220908</t>
  </si>
  <si>
    <t>H15TY96F</t>
  </si>
  <si>
    <t>PLYR WOMENS BH15</t>
  </si>
  <si>
    <t>195105635933</t>
  </si>
  <si>
    <t>UF1TQ178</t>
  </si>
  <si>
    <t>DKNY Sleeveless Ruffled Blouse Stone XL</t>
  </si>
  <si>
    <t>782212752662</t>
  </si>
  <si>
    <t>Anne Klein Colorblocked V-Neck Sweater Siren Blue Nyc White M</t>
  </si>
  <si>
    <t>93488295402</t>
  </si>
  <si>
    <t>Riley Rae Morgyn Mock-Neck Sweater Antique White M</t>
  </si>
  <si>
    <t>195203326337</t>
  </si>
  <si>
    <t>UA1TYK02</t>
  </si>
  <si>
    <t>DKNY Tie-Neck Printed Top Twilight Purple Multi L</t>
  </si>
  <si>
    <t>794278753521</t>
  </si>
  <si>
    <t>Calvin Klein Stretch Cotton Twill Pants Caper 4</t>
  </si>
  <si>
    <t>195046352326</t>
  </si>
  <si>
    <t>Kasper Straight-Leg Pants Lily White 6</t>
  </si>
  <si>
    <t>93488085416</t>
  </si>
  <si>
    <t>Kasper Plus Size Sunset Waves Printed Valencia Multi 3X</t>
  </si>
  <si>
    <t>93488207320</t>
  </si>
  <si>
    <t>X11PL884</t>
  </si>
  <si>
    <t>Calvin Klein Plus Size Elastic-Back Slim-Le Rose 24W</t>
  </si>
  <si>
    <t>195046289080</t>
  </si>
  <si>
    <t>TP04692J</t>
  </si>
  <si>
    <t>Tommy Hilfiger Tommy Hilfiger Quilted Lightwe Scuba Blue XXL</t>
  </si>
  <si>
    <t>195105782620</t>
  </si>
  <si>
    <t>X03JJ165</t>
  </si>
  <si>
    <t>DRAFT - CALVIN KLEIN PLUS SIZE Navy 22W</t>
  </si>
  <si>
    <t>194414383979</t>
  </si>
  <si>
    <t>DRAFT - CALVIN KLEIN PLUS SIZE Navy 14W</t>
  </si>
  <si>
    <t>194414384013</t>
  </si>
  <si>
    <t>DRAFT - CALVIN KLEIN PLUS SIZE Navy 18W</t>
  </si>
  <si>
    <t>194414383993</t>
  </si>
  <si>
    <t>Anne Klein Crewneck Asymmetric Top Anne Black 2</t>
  </si>
  <si>
    <t>93488297642</t>
  </si>
  <si>
    <t>TSMU1WP163</t>
  </si>
  <si>
    <t>Tahari ASL Crease-Front Pants Ivory 12</t>
  </si>
  <si>
    <t>663309999866</t>
  </si>
  <si>
    <t>INC International Concepts V-Neck Polka-Dot Jumpsuit NavyIvory 4</t>
  </si>
  <si>
    <t>93488289623</t>
  </si>
  <si>
    <t>Anne Klein Cotton Check Puff-Sleeve Blous Magritte Blue White 8</t>
  </si>
  <si>
    <t>93488349129</t>
  </si>
  <si>
    <t>Kasper Plus Size Crepe Tab-Waist Shea Fire Red 20W</t>
  </si>
  <si>
    <t>93488460312</t>
  </si>
  <si>
    <t>Le Suit Petite One-Button Pants Suit Tutu PinkBlack 16P</t>
  </si>
  <si>
    <t>93488145950</t>
  </si>
  <si>
    <t>MATKCP8062</t>
  </si>
  <si>
    <t>NYDJ Chloe Capri Zip-Ankle Jeans Clean Affection 12</t>
  </si>
  <si>
    <t>194477188931</t>
  </si>
  <si>
    <t>CW001</t>
  </si>
  <si>
    <t>DRAFT - Essential Cotton Kaden White M</t>
  </si>
  <si>
    <t>841619191952</t>
  </si>
  <si>
    <t>DRAFT - Essential Cotton Kaden White L</t>
  </si>
  <si>
    <t>841619191969</t>
  </si>
  <si>
    <t>DRAFT - Essential Cotton Kaden White XS</t>
  </si>
  <si>
    <t>841619191938</t>
  </si>
  <si>
    <t>DRAFT - Essential Cotton Kaden White XL</t>
  </si>
  <si>
    <t>841619191976</t>
  </si>
  <si>
    <t>DRAFT - Essential Cotton Kaden White S</t>
  </si>
  <si>
    <t>841619191945</t>
  </si>
  <si>
    <t>XE0VA805</t>
  </si>
  <si>
    <t>DKNY Petite Belted Vest Classic Navy Blue 4P</t>
  </si>
  <si>
    <t>795730321739</t>
  </si>
  <si>
    <t>Sam Edelman The Stiletto Cotton High-Rise Koehohe 8</t>
  </si>
  <si>
    <t>193653219070</t>
  </si>
  <si>
    <t>MINQCP2919</t>
  </si>
  <si>
    <t>NYDJ Wide-Leg Frayed-Hem Cropped Je Valhalla 10</t>
  </si>
  <si>
    <t>194477054007</t>
  </si>
  <si>
    <t>SS2130</t>
  </si>
  <si>
    <t>DRAFT - Lyndell Top Black XS</t>
  </si>
  <si>
    <t>840201211856</t>
  </si>
  <si>
    <t>DRAFT - Lyndell Top Black S</t>
  </si>
  <si>
    <t>840201211863</t>
  </si>
  <si>
    <t>DRAFT - Lyndell Top Black M</t>
  </si>
  <si>
    <t>840201211870</t>
  </si>
  <si>
    <t>DRAFT - Lyndell Top Black L</t>
  </si>
  <si>
    <t>840201211887</t>
  </si>
  <si>
    <t>DRAFT - Lyndell Top Black XL</t>
  </si>
  <si>
    <t>840201211894</t>
  </si>
  <si>
    <t>Tommy Jeans Logo Denim Overalls Boundary 32</t>
  </si>
  <si>
    <t>195105789926</t>
  </si>
  <si>
    <t>PF0X4023</t>
  </si>
  <si>
    <t>Calvin Klein Plus Size Hooded Jacket Metallic Salsa 3X</t>
  </si>
  <si>
    <t>195046911370</t>
  </si>
  <si>
    <t>H15J3808</t>
  </si>
  <si>
    <t>Tommy Hilfiger Moto Jacket Ivory 6</t>
  </si>
  <si>
    <t>195105650813</t>
  </si>
  <si>
    <t>SS2135</t>
  </si>
  <si>
    <t>DRAFT - Pandora Top Black M</t>
  </si>
  <si>
    <t>840201216028</t>
  </si>
  <si>
    <t>Kasper Plus Size Striped Chambray Jac Chambray Multi 14W</t>
  </si>
  <si>
    <t>716357564606</t>
  </si>
  <si>
    <t>SS2101</t>
  </si>
  <si>
    <t>DRAFT - SHADE BODYSUIT Black M</t>
  </si>
  <si>
    <t>840201212570</t>
  </si>
  <si>
    <t>DRAFT - SHADE BODYSUIT Black XS</t>
  </si>
  <si>
    <t>840201212556</t>
  </si>
  <si>
    <t>DRAFT - SHADE BODYSUIT Black XL</t>
  </si>
  <si>
    <t>840201212594</t>
  </si>
  <si>
    <t>DRAFT - SHADE BODYSUIT Black S</t>
  </si>
  <si>
    <t>840201212563</t>
  </si>
  <si>
    <t>DRAFT - SHADE BODYSUIT Black L</t>
  </si>
  <si>
    <t>840201212587</t>
  </si>
  <si>
    <t>1883-1185</t>
  </si>
  <si>
    <t>Citizens of Humanity Annabelle Cotton Cut-Off Denim White 31</t>
  </si>
  <si>
    <t>193693170133</t>
  </si>
  <si>
    <t>LDR0422WH71</t>
  </si>
  <si>
    <t>Barbour Highlands Printed Shirtdress Cloud 4</t>
  </si>
  <si>
    <t>194972202514</t>
  </si>
  <si>
    <t>7 For All Mankind Floral-Print High-Rise Jeans Botanical Iris 31</t>
  </si>
  <si>
    <t>190392943372</t>
  </si>
  <si>
    <t>R0GC1-T5586M</t>
  </si>
  <si>
    <t>Eileen Fisher Silk Elbow-Sleeve Top Purple XL</t>
  </si>
  <si>
    <t>193481527323</t>
  </si>
  <si>
    <t>Junk Food Cotton California T-Shirt White M</t>
  </si>
  <si>
    <t>195883031705</t>
  </si>
  <si>
    <t>Junk Food Womens Woodstock Graphic Prin Teal M</t>
  </si>
  <si>
    <t>194973856754</t>
  </si>
  <si>
    <t>PF1X3473</t>
  </si>
  <si>
    <t>Calvin Klein Plus Size Cotton V-Neck Top Coral Coast 2X</t>
  </si>
  <si>
    <t>195046162079</t>
  </si>
  <si>
    <t>Tommy Hilfiger Cotton Logo T-Shirt Scarlet S</t>
  </si>
  <si>
    <t>192114944452</t>
  </si>
  <si>
    <t>Jessica Simpson Tie-Dyed Cotton Tank Top Confetti Tie Dye L</t>
  </si>
  <si>
    <t>8868741479</t>
  </si>
  <si>
    <t>Riley Rae Floral Graphic Top Ultra Whit XL</t>
  </si>
  <si>
    <t>195203518930</t>
  </si>
  <si>
    <t>T09CM76A</t>
  </si>
  <si>
    <t>Calvin Klein Petite Pleated Sleeveless Top Red PS</t>
  </si>
  <si>
    <t>195046638406</t>
  </si>
  <si>
    <t>Splendid Camino Star-Print Leggings Black M</t>
  </si>
  <si>
    <t>193666530964</t>
  </si>
  <si>
    <t>AAXU856</t>
  </si>
  <si>
    <t>Planet Gold Juniors Plus Trendy Ruffled-N Vintage Indigo 1X</t>
  </si>
  <si>
    <t>758116729277</t>
  </si>
  <si>
    <t>Planet Gold Juniors Plus Trendy Ruffled-N Black 1X</t>
  </si>
  <si>
    <t>758116729215</t>
  </si>
  <si>
    <t>Planet Gold Juniors Plus Trendy Ruffled-N Vintage Indigo 2X</t>
  </si>
  <si>
    <t>758116729284</t>
  </si>
  <si>
    <t>Riley Rae Julie Ruched Puff-Sleeve Top Legacy Pink XL</t>
  </si>
  <si>
    <t>195203518237</t>
  </si>
  <si>
    <t>Splendid Charli Tie-Dyed Sweatshirt Black M</t>
  </si>
  <si>
    <t>193666270761</t>
  </si>
  <si>
    <t>Jessica Simpson Sage Ruffle-Sleeve Top Gardeniamarine Green M</t>
  </si>
  <si>
    <t>8867167928</t>
  </si>
  <si>
    <t>Tommy Hilfiger Womens Striped Logo Shorts Deep Blue L</t>
  </si>
  <si>
    <t>195105779057</t>
  </si>
  <si>
    <t>Tommy Hilfiger Slim-Fit Logo T-Shirt White XS</t>
  </si>
  <si>
    <t>195105778180</t>
  </si>
  <si>
    <t>Tommy Hilfiger Womens Terry Shorts Scarlet L</t>
  </si>
  <si>
    <t>195105773369</t>
  </si>
  <si>
    <t>Tommy Hilfiger Womens Striped Logo Shorts Deep Blue XL</t>
  </si>
  <si>
    <t>195105779040</t>
  </si>
  <si>
    <t>J9CHL257</t>
  </si>
  <si>
    <t>Tommy Hilfiger Multi-Stripe Polo Shirt Ballerina Pink Multi S</t>
  </si>
  <si>
    <t>192114399726</t>
  </si>
  <si>
    <t>J1DH0292</t>
  </si>
  <si>
    <t>Tommy Hilfiger Heart-Graphic T-Shirt Bright White XL</t>
  </si>
  <si>
    <t>195105753101</t>
  </si>
  <si>
    <t>Tommy Hilfiger Womens Striped Logo Shorts White XS</t>
  </si>
  <si>
    <t>195105779149</t>
  </si>
  <si>
    <t>Tommy Hilfiger Womens Star-Print Bike Shorts Deep Blue M</t>
  </si>
  <si>
    <t>195105681251</t>
  </si>
  <si>
    <t>Tommy Hilfiger Womens Ribbed Tank Top White M</t>
  </si>
  <si>
    <t>190607335138</t>
  </si>
  <si>
    <t>Tommy Hilfiger Womens Striped Logo Shorts Deep Blue XS</t>
  </si>
  <si>
    <t>195105779088</t>
  </si>
  <si>
    <t>Tommy Hilfiger Polo Shirt Dahlia XS</t>
  </si>
  <si>
    <t>195105754689</t>
  </si>
  <si>
    <t>Tommy Hilfiger Womens Ribbed Tank Top White L</t>
  </si>
  <si>
    <t>190607335121</t>
  </si>
  <si>
    <t>J0BHN257</t>
  </si>
  <si>
    <t>Tommy Hilfiger Striped Polo Shirt Short Mix Stripe- Pink Multi XS</t>
  </si>
  <si>
    <t>190607402717</t>
  </si>
  <si>
    <t>Riley Rae Drawstring Shorts Calm Desert XS</t>
  </si>
  <si>
    <t>195203684703</t>
  </si>
  <si>
    <t>Riley Rae Drawstring Shorts Coral Reef L</t>
  </si>
  <si>
    <t>195203684949</t>
  </si>
  <si>
    <t>Riley Rae Drawstring Shorts Calm Desert XXL</t>
  </si>
  <si>
    <t>195203684758</t>
  </si>
  <si>
    <t>Riley Rae Drawstring Shorts Ultra White L</t>
  </si>
  <si>
    <t>195203684666</t>
  </si>
  <si>
    <t>Riley Rae Drawstring Shorts Coral Reef S</t>
  </si>
  <si>
    <t>195203684925</t>
  </si>
  <si>
    <t>Riley Rae Drawstring Shorts Preppy Navy M</t>
  </si>
  <si>
    <t>195203684864</t>
  </si>
  <si>
    <t>Riley Rae Lily Tank Top Ultra White XS</t>
  </si>
  <si>
    <t>195203683652</t>
  </si>
  <si>
    <t>GUESS Logo Baby T-Shirt Salamander XS</t>
  </si>
  <si>
    <t>195124091284</t>
  </si>
  <si>
    <t>Riley Rae Printed Tie-Shoulder Top Ruby Blush M</t>
  </si>
  <si>
    <t>195203684376</t>
  </si>
  <si>
    <t>Riley Rae Drawstring Shorts Ultra White XXL</t>
  </si>
  <si>
    <t>195203684680</t>
  </si>
  <si>
    <t>Riley Rae Drawstring Shorts Ultra White S</t>
  </si>
  <si>
    <t>195203684642</t>
  </si>
  <si>
    <t>Riley Rae Drawstring Shorts Ultra White XL</t>
  </si>
  <si>
    <t>195203684673</t>
  </si>
  <si>
    <t>Riley Rae Printed Tie-Shoulder Top Ruby Blush XS</t>
  </si>
  <si>
    <t>195203684352</t>
  </si>
  <si>
    <t>Riley Rae Drawstring Shorts Calm Desert XL</t>
  </si>
  <si>
    <t>195203684741</t>
  </si>
  <si>
    <t>Riley Rae Drawstring Shorts Coral Reef XL</t>
  </si>
  <si>
    <t>195203684956</t>
  </si>
  <si>
    <t>W0GI69R8G01</t>
  </si>
  <si>
    <t>GUESS Cotton Cuffed Logo T-Shirt Pastel Dream Multi XS</t>
  </si>
  <si>
    <t>195124181886</t>
  </si>
  <si>
    <t>GF567Y08113</t>
  </si>
  <si>
    <t>Champion Powerblend Graphic Boyfriend S Hush Pink XL</t>
  </si>
  <si>
    <t>194164916380</t>
  </si>
  <si>
    <t>Champion Powerblend Graphic Boyfriend S Hush Pink XS</t>
  </si>
  <si>
    <t>194164916342</t>
  </si>
  <si>
    <t>Riley Rae Rose Double Weave Shorts Rich Black 10</t>
  </si>
  <si>
    <t>195203336381</t>
  </si>
  <si>
    <t>Riley Rae Rose Double Weave Shorts Soft Ecru 12</t>
  </si>
  <si>
    <t>195203336497</t>
  </si>
  <si>
    <t>Riley Rae Rose Double Weave Shorts Soft Ecru 8</t>
  </si>
  <si>
    <t>195203336473</t>
  </si>
  <si>
    <t>Riley Rae Rose Double Weave Shorts Preppy Navy 14</t>
  </si>
  <si>
    <t>195203396590</t>
  </si>
  <si>
    <t>Riley Rae Rose Double Weave Shorts Rich Black 4</t>
  </si>
  <si>
    <t>195203336350</t>
  </si>
  <si>
    <t>Riley Rae Rose Double Weave Shorts Rich Black 6</t>
  </si>
  <si>
    <t>195203336367</t>
  </si>
  <si>
    <t>Riley Rae Rose Double Weave Shorts Preppy Navy 8</t>
  </si>
  <si>
    <t>195203396569</t>
  </si>
  <si>
    <t>M5073G586152</t>
  </si>
  <si>
    <t>Champion Authentic Logo Performance Leg Blackopalescent S</t>
  </si>
  <si>
    <t>194164691959</t>
  </si>
  <si>
    <t>Champion Authentic Logo-Print Cutout Ra Multi Scattered Logos Ox Gr H XS</t>
  </si>
  <si>
    <t>77478929935</t>
  </si>
  <si>
    <t>J9SWN238</t>
  </si>
  <si>
    <t>Tommy Hilfiger Striped Chino Shorts, Created Bluewhite 18</t>
  </si>
  <si>
    <t>192114551452</t>
  </si>
  <si>
    <t>Gloria Vanderbilt Gloria Vanderbilt Womens Aman Bondi W Whiskers 6</t>
  </si>
  <si>
    <t>8868310620</t>
  </si>
  <si>
    <t>Anne Klein Plus Size Printed Pleated Top Siren BlueNYC White 3X</t>
  </si>
  <si>
    <t>93488330936</t>
  </si>
  <si>
    <t>1.STATE Split-Neck Top Soft Ecru L</t>
  </si>
  <si>
    <t>195203393513</t>
  </si>
  <si>
    <t>Gloria Vanderbilt Gloria Vanderbilt Generation H Capitol 4</t>
  </si>
  <si>
    <t>8868347848</t>
  </si>
  <si>
    <t>Gloria Vanderbilt Gloria Vanderbilt Generation H Parkes 6</t>
  </si>
  <si>
    <t>8868348050</t>
  </si>
  <si>
    <t>J0EHN257</t>
  </si>
  <si>
    <t>Tommy Hilfiger Striped Polo Cleantarifa Stripes- Bright Wh S</t>
  </si>
  <si>
    <t>190607227372</t>
  </si>
  <si>
    <t>Tommy Hilfiger Plus Size Floral-Print Striped White 2X</t>
  </si>
  <si>
    <t>190607309795</t>
  </si>
  <si>
    <t>Tommy Hilfiger Striped Polo Cleantarifa Stripes- Bright Wh XS</t>
  </si>
  <si>
    <t>190607227389</t>
  </si>
  <si>
    <t>Tommy Hilfiger Plus Size Floral-Print Striped White 1X</t>
  </si>
  <si>
    <t>190607309801</t>
  </si>
  <si>
    <t>GUESS V-Neck Button Top Wispy Pink Multi M</t>
  </si>
  <si>
    <t>195124190482</t>
  </si>
  <si>
    <t>W1GI64R9SN2</t>
  </si>
  <si>
    <t>GUESS Mother Nature T-Shirt Ocean Salt XL</t>
  </si>
  <si>
    <t>195124155290</t>
  </si>
  <si>
    <t>GF934586136</t>
  </si>
  <si>
    <t>Champion Powerblend Logo Hoodie Black S</t>
  </si>
  <si>
    <t>194164724145</t>
  </si>
  <si>
    <t>Tommy Jeans Short Sleeve V-Neck Bodysuit Bright White S</t>
  </si>
  <si>
    <t>195105798386</t>
  </si>
  <si>
    <t>PF0X3572</t>
  </si>
  <si>
    <t>Calvin Klein Plus Size Logo-Print T-Shirt Berry 3X</t>
  </si>
  <si>
    <t>194414236794</t>
  </si>
  <si>
    <t>Calvin Klein Plus Size Icon Logo T-Shirt Stardust 2X</t>
  </si>
  <si>
    <t>195841932433</t>
  </si>
  <si>
    <t>PF1X0175</t>
  </si>
  <si>
    <t>Calvin Klein Plus Size Printed T-Shirt Palm Shade Stardust 3X</t>
  </si>
  <si>
    <t>195841937599</t>
  </si>
  <si>
    <t>Riley Rae Tobi Puff-Sleeve Polo Shirt Aegean Sea M</t>
  </si>
  <si>
    <t>195203514505</t>
  </si>
  <si>
    <t>TP93202X</t>
  </si>
  <si>
    <t>Tommy Hilfiger Plus Size Colorblocked T-Shirt Hot Pink And Lemonade 2X</t>
  </si>
  <si>
    <t>192114310110</t>
  </si>
  <si>
    <t>Jessica Simpson Sloane Ribbon-Strap Tank Top Black M</t>
  </si>
  <si>
    <t>8867159923</t>
  </si>
  <si>
    <t>Tommy Hilfiger Printed-Back Cuffed-Sleeve Top Sky Captain L</t>
  </si>
  <si>
    <t>190607222926</t>
  </si>
  <si>
    <t>Tommy Hilfiger Striped Bermuda Shorts Coralie 4</t>
  </si>
  <si>
    <t>190607365098</t>
  </si>
  <si>
    <t>Tommy Hilfiger Womens Faux-Wrap Dress Scuba Blue S</t>
  </si>
  <si>
    <t>195105777480</t>
  </si>
  <si>
    <t>Tommy Hilfiger Printed-Back Cuffed-Sleeve Top Tea Rose S</t>
  </si>
  <si>
    <t>190607222841</t>
  </si>
  <si>
    <t>Tommy Hilfiger Printed-Back Cuffed-Sleeve Top Sunflower S</t>
  </si>
  <si>
    <t>190607222964</t>
  </si>
  <si>
    <t>TP07958P</t>
  </si>
  <si>
    <t>Tommy Hilfiger High Rise Logo Full Length Leg Black XS</t>
  </si>
  <si>
    <t>195105919231</t>
  </si>
  <si>
    <t>CUFFED SHORT W ETP0</t>
  </si>
  <si>
    <t>190607387601</t>
  </si>
  <si>
    <t>Tommy Hilfiger Graphic T-Shirt Dress White S</t>
  </si>
  <si>
    <t>195105681091</t>
  </si>
  <si>
    <t>Riley Rae Amber Sun Tropical-Print Short Ruby Blush M</t>
  </si>
  <si>
    <t>195203796895</t>
  </si>
  <si>
    <t>Riley Rae Amber Sun Tropical-Print Short Ruby Blush L</t>
  </si>
  <si>
    <t>195203796901</t>
  </si>
  <si>
    <t>Riley Rae Camryn Tie-Neck Sleeveless Blo Icy Blue XXL</t>
  </si>
  <si>
    <t>195203511528</t>
  </si>
  <si>
    <t>Riley Rae Camryn Tie-Neck Sleeveless Blo Icy Blue L</t>
  </si>
  <si>
    <t>195203511504</t>
  </si>
  <si>
    <t>Riley Rae Blair Tie-Neck Sweater Varsity Orange S</t>
  </si>
  <si>
    <t>195203166391</t>
  </si>
  <si>
    <t>Riley Rae Puff-Sleeve Contrast-Trim Dres Preppy Navy L</t>
  </si>
  <si>
    <t>195203155487</t>
  </si>
  <si>
    <t>Riley Rae Vera Cropped Pants Geranium Red 12</t>
  </si>
  <si>
    <t>195203398334</t>
  </si>
  <si>
    <t>Champion Applique Logo Sweatshirt Athletic Navy XS</t>
  </si>
  <si>
    <t>194164679636</t>
  </si>
  <si>
    <t>Bar III Plus Size Tie-Dye Camisole Fjord BlueNYC White 3X</t>
  </si>
  <si>
    <t>93488765806</t>
  </si>
  <si>
    <t>UB1TL107</t>
  </si>
  <si>
    <t>DKNY Puff-Sleeve Top Parfait Pink XXL</t>
  </si>
  <si>
    <t>794278897317</t>
  </si>
  <si>
    <t>CeCe Tiered T-Shirt Rich Black S</t>
  </si>
  <si>
    <t>195203881164</t>
  </si>
  <si>
    <t>1.STATE Smocked Flutter-Sleeve Blouse Casbah Pink S</t>
  </si>
  <si>
    <t>195203211411</t>
  </si>
  <si>
    <t>RAYON AND SPANDEX</t>
  </si>
  <si>
    <t>M9MH8860</t>
  </si>
  <si>
    <t>Calvin Klein V-Neck Mixed-Texture Top White S</t>
  </si>
  <si>
    <t>193623676810</t>
  </si>
  <si>
    <t>PF1X3978</t>
  </si>
  <si>
    <t>Calvin Klein Plus Size Tie-Dyed Logo Shirt Sydney Melrose 3X</t>
  </si>
  <si>
    <t>195841937285</t>
  </si>
  <si>
    <t>Calvin Klein Plus Size Tie-Dye Logo T-Shirt Kensington Lime Zest 2X</t>
  </si>
  <si>
    <t>195046162918</t>
  </si>
  <si>
    <t>Calvin Klein Plus Size Tie-Dye Logo T-Shirt Kensington Lime Zest 3X</t>
  </si>
  <si>
    <t>195046162901</t>
  </si>
  <si>
    <t>Riley Rae Puff-Sleeve Dress Silver Heather S</t>
  </si>
  <si>
    <t>195203515540</t>
  </si>
  <si>
    <t>Riley Rae Iris Puff-Shoulder Blouse Legacy Pink XS</t>
  </si>
  <si>
    <t>195203510637</t>
  </si>
  <si>
    <t>Riley Rae Puff-Sleeve Dress Aegean Sea S</t>
  </si>
  <si>
    <t>195203515687</t>
  </si>
  <si>
    <t>Riley Rae Ada Pants Ultra White XS</t>
  </si>
  <si>
    <t>195203684499</t>
  </si>
  <si>
    <t>Riley Rae Puff-Sleeve Dress Silver Heather M</t>
  </si>
  <si>
    <t>195203515557</t>
  </si>
  <si>
    <t>Riley Rae Gina Cardigan Legacy Pink M</t>
  </si>
  <si>
    <t>195203512051</t>
  </si>
  <si>
    <t>Tommy Hilfiger Madison Skinny Ankle Jeans Khaki 12</t>
  </si>
  <si>
    <t>192114470340</t>
  </si>
  <si>
    <t>Tommy Hilfiger Striped Bermuda Shorts Peony 4</t>
  </si>
  <si>
    <t>192114515225</t>
  </si>
  <si>
    <t>Tommy Hilfiger Striped Bermuda Shorts Thyme 2</t>
  </si>
  <si>
    <t>192114515416</t>
  </si>
  <si>
    <t>Tommy Hilfiger Striped Bermuda Shorts Peony 6</t>
  </si>
  <si>
    <t>192114515218</t>
  </si>
  <si>
    <t>Tommy Hilfiger Plus Size Floral-Print Polo Sh Tompkins Park- Bright White Mu 2X</t>
  </si>
  <si>
    <t>195105794272</t>
  </si>
  <si>
    <t>PL42673</t>
  </si>
  <si>
    <t>Monteau Trendy Plus Size Wide-Leg Jump Navy 3X</t>
  </si>
  <si>
    <t>884630194298</t>
  </si>
  <si>
    <t>BAM by Betsy Adam Tank Top with Attached Mask Heather Grey XL</t>
  </si>
  <si>
    <t>195170020597</t>
  </si>
  <si>
    <t>Riley Rae Freya Ruched Straight-Leg Pant Ultra White XS</t>
  </si>
  <si>
    <t>195203525518</t>
  </si>
  <si>
    <t>Seven7 Utility Shorts Lotus 12</t>
  </si>
  <si>
    <t>194278194902</t>
  </si>
  <si>
    <t>Seven7 Utility Shorts Tan 4</t>
  </si>
  <si>
    <t>194278195138</t>
  </si>
  <si>
    <t>Riley Rae Flutter Sleeve Romper Preppy Navy XXL</t>
  </si>
  <si>
    <t>195203524863</t>
  </si>
  <si>
    <t>GUESS Cropped Leggings Allover Logo Pink M</t>
  </si>
  <si>
    <t>7618483395099</t>
  </si>
  <si>
    <t>GUESS Cropped Leggings Allover Logo Pink XS</t>
  </si>
  <si>
    <t>7618483395075</t>
  </si>
  <si>
    <t>GUESS Lace-Up Active Sports Bra BLUSHING PINK S</t>
  </si>
  <si>
    <t>7618483938722</t>
  </si>
  <si>
    <t>W1GH03R3IX1</t>
  </si>
  <si>
    <t>GUESS Voile Cami Top Wpisy Pink Multi XS</t>
  </si>
  <si>
    <t>195124166470</t>
  </si>
  <si>
    <t>Calvin Klein Plus Size Solid 34-Sleeve V-N Georgia Peach 1X</t>
  </si>
  <si>
    <t>195046131525</t>
  </si>
  <si>
    <t>Champion Heritage Joggers Black XS</t>
  </si>
  <si>
    <t>192503598792</t>
  </si>
  <si>
    <t>H16TY49A</t>
  </si>
  <si>
    <t>Tommy Hilfiger Split-Neck Sleeveless Top Fondant Brown L</t>
  </si>
  <si>
    <t>195105642061</t>
  </si>
  <si>
    <t>Jessica Simpson Christina Printed Blouse Black M</t>
  </si>
  <si>
    <t>8867161384</t>
  </si>
  <si>
    <t>Jessica Simpson Kiss Me Ankle Skinny Jeans True Blue 24</t>
  </si>
  <si>
    <t>8867344657</t>
  </si>
  <si>
    <t>Tommy Hilfiger Tommy Hilfiger Sport Side Pane Storm Heather XS</t>
  </si>
  <si>
    <t>195105827215</t>
  </si>
  <si>
    <t>TP16369P</t>
  </si>
  <si>
    <t>Tommy Hilfiger Cotton OmbreJogger Pants Deep BlueTropical Peach Combo XL</t>
  </si>
  <si>
    <t>195105666999</t>
  </si>
  <si>
    <t>Tommy Hilfiger Womens Striped Colorblocked D Black S</t>
  </si>
  <si>
    <t>195105779194</t>
  </si>
  <si>
    <t>Tommy Hilfiger Hollywood Sailboat-Print Short Bitty Boats- Sky Captain Multi 16</t>
  </si>
  <si>
    <t>192114517847</t>
  </si>
  <si>
    <t>J1AH0129</t>
  </si>
  <si>
    <t>Tommy Hilfiger Striped Long-Sleeve Top Bridal Rose XS</t>
  </si>
  <si>
    <t>195105801840</t>
  </si>
  <si>
    <t>Tommy Hilfiger Womens Striped Colorblocked D Deep Blue S</t>
  </si>
  <si>
    <t>195105779439</t>
  </si>
  <si>
    <t>TP16366P</t>
  </si>
  <si>
    <t>Tommy Hilfiger Womens Cropped Logo Jogger Pa Scuba Blue XS</t>
  </si>
  <si>
    <t>195105777671</t>
  </si>
  <si>
    <t>Tommy Hilfiger Womens Cropped Logo Jogger Pa Deep Blue XS</t>
  </si>
  <si>
    <t>195105777794</t>
  </si>
  <si>
    <t>Tommy Hilfiger Womens Colorblocked Dress Scuba Blue M</t>
  </si>
  <si>
    <t>195105777299</t>
  </si>
  <si>
    <t>J1EHN418</t>
  </si>
  <si>
    <t>Tommy Hilfiger Tommy Hilfiger Striped T-Shirt Scarletbright White M</t>
  </si>
  <si>
    <t>195105689509</t>
  </si>
  <si>
    <t>Tommy Hilfiger Womens Colorblocked Dress Scuba Blue XL</t>
  </si>
  <si>
    <t>195105777275</t>
  </si>
  <si>
    <t>Tommy Hilfiger Womens Colorblocked Dress Fuchsia Pink L</t>
  </si>
  <si>
    <t>195105777220</t>
  </si>
  <si>
    <t>Tommy Hilfiger Womens Colorblocked Dress Fuchsia Pink M</t>
  </si>
  <si>
    <t>195105777237</t>
  </si>
  <si>
    <t>Riley Rae Flutter Sleeve Romper Icy Blue L</t>
  </si>
  <si>
    <t>195203524702</t>
  </si>
  <si>
    <t>Riley Rae Flutter Sleeve Romper Icy Blue M</t>
  </si>
  <si>
    <t>195203524696</t>
  </si>
  <si>
    <t>Riley Rae Flutter Sleeve Romper Icy Blue XS</t>
  </si>
  <si>
    <t>195203524672</t>
  </si>
  <si>
    <t>CeCe Ruffled Cold-Shoulder Top Ghromanticdas XS</t>
  </si>
  <si>
    <t>195203627182</t>
  </si>
  <si>
    <t>1.STATE Ruffled Cold-Shoulder Top Black Tranquil Ditsy Garden M</t>
  </si>
  <si>
    <t>195203538044</t>
  </si>
  <si>
    <t>Anne Klein Plus Size Pleat-Neck 34-Sleev Black 1X</t>
  </si>
  <si>
    <t>93488665014</t>
  </si>
  <si>
    <t>CeCe Tie-Sleeve Button-Up Top Golden Hour M</t>
  </si>
  <si>
    <t>195203645322</t>
  </si>
  <si>
    <t>CeCe Printed Pintucked Blouse Rich Black XS</t>
  </si>
  <si>
    <t>195203638263</t>
  </si>
  <si>
    <t>Champion Womens Printed Cropped Leggin Organic Floral Black M</t>
  </si>
  <si>
    <t>77478975130</t>
  </si>
  <si>
    <t>Riley Rae Tiered Cap-Sleeve Dress Soft Ecru S</t>
  </si>
  <si>
    <t>195203685915</t>
  </si>
  <si>
    <t>J3316TTD1477A</t>
  </si>
  <si>
    <t>Dickies Crop Tie Dye Sweatshirt Washed Navy L</t>
  </si>
  <si>
    <t>792831374701</t>
  </si>
  <si>
    <t>Bar III Plus Size Seamed V-Neck Top Pink Punch 3X</t>
  </si>
  <si>
    <t>93488674030</t>
  </si>
  <si>
    <t>UF1TYF87</t>
  </si>
  <si>
    <t>DKNY Printed Pleated Tie-Neck Top ParchmentCinnamon L</t>
  </si>
  <si>
    <t>794278474105</t>
  </si>
  <si>
    <t>Riley Rae Striped Midi Dress Coral Reef XS</t>
  </si>
  <si>
    <t>195203678597</t>
  </si>
  <si>
    <t>Riley Rae Striped Midi Dress Preppy Navy L</t>
  </si>
  <si>
    <t>195203652399</t>
  </si>
  <si>
    <t>Champion Double Dry Cropped Leggings Black M</t>
  </si>
  <si>
    <t>77478972436</t>
  </si>
  <si>
    <t>Kasper Printed Tie-Neck Tank Dandelion Combo XS</t>
  </si>
  <si>
    <t>93488754503</t>
  </si>
  <si>
    <t>Riley Rae Caleigh Blouse, Created for Ma Calm Desert S</t>
  </si>
  <si>
    <t>195203794990</t>
  </si>
  <si>
    <t>Kasper Plus Size Printed V-Neck Top Butterscotch Yellow Multi 2X</t>
  </si>
  <si>
    <t>93488099406</t>
  </si>
  <si>
    <t>Tommy Jeans Flag Hoodie Dress Black L</t>
  </si>
  <si>
    <t>195105789773</t>
  </si>
  <si>
    <t>T0BK2FCA</t>
  </si>
  <si>
    <t>Tommy Jeans Tie-Dyed Skinny Ankle Jeans Tie Dye 29</t>
  </si>
  <si>
    <t>190607344376</t>
  </si>
  <si>
    <t>Tommy Jeans Logo Hoodie Sweatshirt Sorrel L</t>
  </si>
  <si>
    <t>195105786086</t>
  </si>
  <si>
    <t>MY3310DE</t>
  </si>
  <si>
    <t>Seven7 Distressed Bermuda Jean Shorts Select 6</t>
  </si>
  <si>
    <t>194278194698</t>
  </si>
  <si>
    <t>DKNY Tulle-Overlay Top Yellow XL</t>
  </si>
  <si>
    <t>794278835012</t>
  </si>
  <si>
    <t>PF1X6509</t>
  </si>
  <si>
    <t>Calvin Klein Plus Size Script Print Legging Black Heather 3X</t>
  </si>
  <si>
    <t>195841935472</t>
  </si>
  <si>
    <t>P0RA7CLZ</t>
  </si>
  <si>
    <t>DKNY V-Neck Chiffon-Trim Top Iconic Blush M</t>
  </si>
  <si>
    <t>795730920901</t>
  </si>
  <si>
    <t>PF1X6415</t>
  </si>
  <si>
    <t>Calvin Klein Plus Size Tie-Dyed Pull-On Leg Sea Level 1X</t>
  </si>
  <si>
    <t>195841935830</t>
  </si>
  <si>
    <t>Calvin Klein Plus Size Tie-Dyed Pull-On Leg Sea Level 3X</t>
  </si>
  <si>
    <t>195841935816</t>
  </si>
  <si>
    <t>PF1X6508</t>
  </si>
  <si>
    <t>Calvin Klein Plus Size Logo Leggings Black 1X</t>
  </si>
  <si>
    <t>195841951106</t>
  </si>
  <si>
    <t>COTTON/POLYESTER/VISCOSE/ELASTANE</t>
  </si>
  <si>
    <t>MINQBS2830</t>
  </si>
  <si>
    <t>NYDJ NYDJ Roll-Hem Briella Denim Sh Nevin 16</t>
  </si>
  <si>
    <t>889982966159</t>
  </si>
  <si>
    <t>Anne Klein Shirred Button-Front Blouse White 4</t>
  </si>
  <si>
    <t>716357934119</t>
  </si>
  <si>
    <t>H16TY27A</t>
  </si>
  <si>
    <t>Tommy Hilfiger Long-Sleeve Woven Tunic Ivory Multi L</t>
  </si>
  <si>
    <t>195105642887</t>
  </si>
  <si>
    <t>Riley Rae Caitlyn Romper Ultra White M</t>
  </si>
  <si>
    <t>195203690780</t>
  </si>
  <si>
    <t>Riley Rae Caitlyn Romper Ultra White XS</t>
  </si>
  <si>
    <t>195203690766</t>
  </si>
  <si>
    <t>GUESS Eden Henley Polo Sweater Red Glen XL</t>
  </si>
  <si>
    <t>195124306630</t>
  </si>
  <si>
    <t>X03TX23B</t>
  </si>
  <si>
    <t>Calvin Klein Trendy Plus Size Printed V-Nec Blue Multi 2X</t>
  </si>
  <si>
    <t>194414526048</t>
  </si>
  <si>
    <t>GUESS Amina Linen Corset Top Bleached Blue Multi M</t>
  </si>
  <si>
    <t>195124167842</t>
  </si>
  <si>
    <t>GUESS Cory Ruched Crop Top Asphalt Grey XL</t>
  </si>
  <si>
    <t>195124280213</t>
  </si>
  <si>
    <t>J9DH0892</t>
  </si>
  <si>
    <t>Tommy Hilfiger One-Shoulder Colorblocked Swea Sky Captain XL</t>
  </si>
  <si>
    <t>192114396350</t>
  </si>
  <si>
    <t>TP10468T</t>
  </si>
  <si>
    <t>Tommy Hilfiger Womens Half-Zip Colorblocked White Stone Heather XL</t>
  </si>
  <si>
    <t>195105778449</t>
  </si>
  <si>
    <t>J0EM0116</t>
  </si>
  <si>
    <t>Tommy Hilfiger Sleeveless Band-Collar Shirt Ivory S</t>
  </si>
  <si>
    <t>190607247547</t>
  </si>
  <si>
    <t>J0FN0923</t>
  </si>
  <si>
    <t>Tommy Hilfiger Cargo Skirt Natural 6</t>
  </si>
  <si>
    <t>190607221653</t>
  </si>
  <si>
    <t>J0FD0504</t>
  </si>
  <si>
    <t>Tommy Hilfiger Side-Striped Hoodie Dress Tea Rose XL</t>
  </si>
  <si>
    <t>190607223435</t>
  </si>
  <si>
    <t>TP16356P</t>
  </si>
  <si>
    <t>Tommy Hilfiger Cargo Jogger Pants Sand L</t>
  </si>
  <si>
    <t>195105779866</t>
  </si>
  <si>
    <t>Tommy Hilfiger Womens Half-Zip Colorblocked White Stone Heather XS</t>
  </si>
  <si>
    <t>195105778487</t>
  </si>
  <si>
    <t>Tommy Hilfiger Greenwich Bright Blue Wash Ski Bright Blue 2</t>
  </si>
  <si>
    <t>190607915170</t>
  </si>
  <si>
    <t>J0DK0505</t>
  </si>
  <si>
    <t>Tommy Hilfiger Striped-Trim Split-Seam Skinny Ws 268- White Soft Rinse 2</t>
  </si>
  <si>
    <t>190607278633</t>
  </si>
  <si>
    <t>J1AD0392</t>
  </si>
  <si>
    <t>Tommy Hilfiger Colorblocked Sweatshirt Dress Bright White Multi L</t>
  </si>
  <si>
    <t>195105794548</t>
  </si>
  <si>
    <t>Tommy Hilfiger Striped-Trim Split-Seam Skinny Ws 268- White Soft Rinse 4</t>
  </si>
  <si>
    <t>190607278626</t>
  </si>
  <si>
    <t>CeCe Pleated Shorts Rich Black 10</t>
  </si>
  <si>
    <t>193768613817</t>
  </si>
  <si>
    <t>1.STATE 1.STATE Womens Smocked Puff-S Floral Twilight XS</t>
  </si>
  <si>
    <t>195203605418</t>
  </si>
  <si>
    <t>Nine West Jacquard Skirt Crimson Redblack L</t>
  </si>
  <si>
    <t>93487723081</t>
  </si>
  <si>
    <t>Riley Rae Jumpsuit Coral Reef 12</t>
  </si>
  <si>
    <t>195203797151</t>
  </si>
  <si>
    <t>Riley Rae Gia Funnel-Neck Waffle-Knit Sw Aegean Sea S</t>
  </si>
  <si>
    <t>195203659480</t>
  </si>
  <si>
    <t>Riley Rae Gia Funnel-Neck Waffle-Knit Sw Aegean Sea M</t>
  </si>
  <si>
    <t>195203659497</t>
  </si>
  <si>
    <t>Riley Rae Fallon Cropped Crepe Pants Soft Ecru 14</t>
  </si>
  <si>
    <t>195203398426</t>
  </si>
  <si>
    <t>Kasper Crepe Column Midi Skirt Black 14</t>
  </si>
  <si>
    <t>782417025813</t>
  </si>
  <si>
    <t>GF850Y06145</t>
  </si>
  <si>
    <t>Champion Embroidered Logo Sweatshirt White S</t>
  </si>
  <si>
    <t>194164930737</t>
  </si>
  <si>
    <t>Champion Embroidered Logo Sweatshirt Black S</t>
  </si>
  <si>
    <t>194164930553</t>
  </si>
  <si>
    <t>TSMS1WT088</t>
  </si>
  <si>
    <t>Tahari ASL Tie-Waist Top White L</t>
  </si>
  <si>
    <t>663309975716</t>
  </si>
  <si>
    <t>TSMU1WS157</t>
  </si>
  <si>
    <t>Tahari ASL Pebble Crepe Pencil Skirt Cantaloupe 16</t>
  </si>
  <si>
    <t>635273832210</t>
  </si>
  <si>
    <t>French Connection Tommy Ribbed Bodycon Maxi Tank Blacksummer White S</t>
  </si>
  <si>
    <t>192942843880</t>
  </si>
  <si>
    <t>SHELL &amp; LINING:POLYESTER/RAYON/SPANDEX</t>
  </si>
  <si>
    <t>CPE3036H</t>
  </si>
  <si>
    <t>Calvin Klein Pants, Modern Tab-Front Trouse Heather Taupe 4P</t>
  </si>
  <si>
    <t>192351504297</t>
  </si>
  <si>
    <t>Kasper Denim Shirt Light Wash XS</t>
  </si>
  <si>
    <t>93488748663</t>
  </si>
  <si>
    <t>Kasper Printed Pull-On Wide-Leg Pants Willow Combo M</t>
  </si>
  <si>
    <t>93488752714</t>
  </si>
  <si>
    <t>Kasper Denim Shirt Light Wash S</t>
  </si>
  <si>
    <t>93488748649</t>
  </si>
  <si>
    <t>Tommy Jeans Two-Tone Cargo Pants Tannin 28</t>
  </si>
  <si>
    <t>190607204939</t>
  </si>
  <si>
    <t>Bar III Plus Size Ankle Pants Charcoal Grey 24W</t>
  </si>
  <si>
    <t>93487759929</t>
  </si>
  <si>
    <t>PF1X6487</t>
  </si>
  <si>
    <t>Calvin Klein Plus Size Jogging Pants Black 3X</t>
  </si>
  <si>
    <t>195841952394</t>
  </si>
  <si>
    <t>Calvin Klein Plus Size Jogging Pants Black 2X</t>
  </si>
  <si>
    <t>195841952400</t>
  </si>
  <si>
    <t>PF1X6445</t>
  </si>
  <si>
    <t>Calvin Klein Calvin Klein Plus Size Perform Charcoal 2X</t>
  </si>
  <si>
    <t>195046148202</t>
  </si>
  <si>
    <t>Calvin Klein Calvin Klein Plus Size Perform Black 3X</t>
  </si>
  <si>
    <t>195046148165</t>
  </si>
  <si>
    <t>Calvin Klein Petite Asymmetrical-Hem Pencil White 2P</t>
  </si>
  <si>
    <t>194414384617</t>
  </si>
  <si>
    <t>Riley Rae Adalynn Printed Belted Jumpsui Vivid Green 4</t>
  </si>
  <si>
    <t>195203525907</t>
  </si>
  <si>
    <t>CeCe Dot Print Top Rich Black XS</t>
  </si>
  <si>
    <t>39374788795</t>
  </si>
  <si>
    <t>CeCe Embellished Floral-Print Top Hot Lava L</t>
  </si>
  <si>
    <t>193768631545</t>
  </si>
  <si>
    <t>CeCe Collared Polka Dot Top Rich Black M</t>
  </si>
  <si>
    <t>720655752597</t>
  </si>
  <si>
    <t>Kasper 34-Sleeve Open-Front Cardigan Stone XL</t>
  </si>
  <si>
    <t>93487516362</t>
  </si>
  <si>
    <t>CeCe Collared Polka Dot Top Rich Black L</t>
  </si>
  <si>
    <t>720655752603</t>
  </si>
  <si>
    <t>CeCe Collared Polka Dot Top Rich Black XS</t>
  </si>
  <si>
    <t>720655752573</t>
  </si>
  <si>
    <t>CeCe Collared Polka Dot Top Rich Black XL</t>
  </si>
  <si>
    <t>720655752610</t>
  </si>
  <si>
    <t>BAM by Betsy Adam Crewneck Sweater with Built-In Black S</t>
  </si>
  <si>
    <t>195170019812</t>
  </si>
  <si>
    <t>CeCe V-Neck Ruffled Dress Moonlit XS</t>
  </si>
  <si>
    <t>195203436937</t>
  </si>
  <si>
    <t>CeCe Square-neck Tiered Puff-Sleeve Soft Ecru M</t>
  </si>
  <si>
    <t>195203411514</t>
  </si>
  <si>
    <t>CeCe Printed Ruffled Dress Bay Sky XL</t>
  </si>
  <si>
    <t>195203407944</t>
  </si>
  <si>
    <t>UE0P7834</t>
  </si>
  <si>
    <t>DKNY Split-Waist Culottes Black 14</t>
  </si>
  <si>
    <t>795730360714</t>
  </si>
  <si>
    <t>1.STATE Smocked-Neck Flutter-Sleeve Dr Tranquil Gray S</t>
  </si>
  <si>
    <t>195203540061</t>
  </si>
  <si>
    <t>Jessica Simpson Fria Tank Dress Gardeniamarble Cheetah S</t>
  </si>
  <si>
    <t>8867171260</t>
  </si>
  <si>
    <t>Kasper Plus Size Pencil Skirt Lily White 20W</t>
  </si>
  <si>
    <t>93488102076</t>
  </si>
  <si>
    <t>Kasper Plus Size Pencil Skirt Lily White 24W</t>
  </si>
  <si>
    <t>93488102090</t>
  </si>
  <si>
    <t>Kasper Plus Size Pencil Skirt Lily White 22W</t>
  </si>
  <si>
    <t>93488102083</t>
  </si>
  <si>
    <t>J1AMH029</t>
  </si>
  <si>
    <t>Tommy Hilfiger Gingham Peplum Top Quincy Gingham- Sky Captainiv M</t>
  </si>
  <si>
    <t>195105817551</t>
  </si>
  <si>
    <t>J1AE0402</t>
  </si>
  <si>
    <t>Tommy Hilfiger Hooded Flyaway Cardigan Sky Captain L</t>
  </si>
  <si>
    <t>195105819289</t>
  </si>
  <si>
    <t>Tommy Hilfiger Tribeca Piped-Trim Skinny Jean Cheasapeak Wash 2</t>
  </si>
  <si>
    <t>190607113897</t>
  </si>
  <si>
    <t>J0DDN217</t>
  </si>
  <si>
    <t>Tommy Hilfiger Striped Sleeveless Dress Even Stripe- Bright Whitesky S</t>
  </si>
  <si>
    <t>190607282463</t>
  </si>
  <si>
    <t>GUESS Denim Mom Shorts Salamander 28</t>
  </si>
  <si>
    <t>195124340191</t>
  </si>
  <si>
    <t>City Studios Plus Size Glittering Fit-and-F Brt.blue 16W</t>
  </si>
  <si>
    <t>708008696781</t>
  </si>
  <si>
    <t>J1AK0534</t>
  </si>
  <si>
    <t>Tommy Hilfiger Alton Cuffed Straight-Leg Pant Sky Captain XL</t>
  </si>
  <si>
    <t>195105733547</t>
  </si>
  <si>
    <t>Calvin Klein Tech Stretch Belted Ankle Pant White XL</t>
  </si>
  <si>
    <t>195046074105</t>
  </si>
  <si>
    <t>Calvin Klein Stretch Cotton Twill Pants Latte 4</t>
  </si>
  <si>
    <t>195046243495</t>
  </si>
  <si>
    <t>M0FAZ672</t>
  </si>
  <si>
    <t>Calvin Klein Floral-Print Blouse CanaryWhite Multi XS</t>
  </si>
  <si>
    <t>194414219100</t>
  </si>
  <si>
    <t>M1AKH204</t>
  </si>
  <si>
    <t>Calvin Klein Tie-Front Pants Black 6</t>
  </si>
  <si>
    <t>195046231492</t>
  </si>
  <si>
    <t>Calvin Klein Stretch Cotton Twill Pants Soft White 14</t>
  </si>
  <si>
    <t>195046243365</t>
  </si>
  <si>
    <t>POLYESTER/VISCOSE</t>
  </si>
  <si>
    <t>Anne Klein Anne Klein Mock-Neck Dolman-Sl Anne Black M</t>
  </si>
  <si>
    <t>93487686164</t>
  </si>
  <si>
    <t>Kasper Tiered Gauze Pull-On Skirt White L</t>
  </si>
  <si>
    <t>93488748786</t>
  </si>
  <si>
    <t>Kasper Tiered Gauze Pull-On Skirt White XL</t>
  </si>
  <si>
    <t>93488748816</t>
  </si>
  <si>
    <t>Kasper Tropical Abstract 34-Sleeve T Butterscotch Multi M</t>
  </si>
  <si>
    <t>93488133940</t>
  </si>
  <si>
    <t>Kasper Carly Textured Pants Grey 16</t>
  </si>
  <si>
    <t>93488117278</t>
  </si>
  <si>
    <t>Kasper Long Flyaway Cardigan Wedgewood L</t>
  </si>
  <si>
    <t>93488267256</t>
  </si>
  <si>
    <t>P0EK8COK</t>
  </si>
  <si>
    <t>DKNY Cropped Front Tab Pants Muslin 10</t>
  </si>
  <si>
    <t>795730489958</t>
  </si>
  <si>
    <t>DKNY Cropped Front Tab Pants Muslin 8</t>
  </si>
  <si>
    <t>795730489965</t>
  </si>
  <si>
    <t>1.STATE Wrap-Front Mini Dress Ultra White 2</t>
  </si>
  <si>
    <t>195203672908</t>
  </si>
  <si>
    <t>Anne Klein Plus Size Culottes MAGRITTE BLUE 2X</t>
  </si>
  <si>
    <t>93488439257</t>
  </si>
  <si>
    <t>Anne Klein Plus Size Charmeuse Tunic MAGRITTE BLUE 2X</t>
  </si>
  <si>
    <t>93488373612</t>
  </si>
  <si>
    <t>Kasper Petite Slim-Leg Cropped Pants Mariner Blue 2P</t>
  </si>
  <si>
    <t>93488294252</t>
  </si>
  <si>
    <t>H13PA424</t>
  </si>
  <si>
    <t>Tommy Hilfiger Cropped Ribbon-Trim Ankle Pant Midnight 16</t>
  </si>
  <si>
    <t>195105704868</t>
  </si>
  <si>
    <t>Calvin Klein Petite Belted Pants Navy 10P</t>
  </si>
  <si>
    <t>194414547159</t>
  </si>
  <si>
    <t>Calvin Klein Petite Belted Pants Navy 2P</t>
  </si>
  <si>
    <t>194414547180</t>
  </si>
  <si>
    <t>Calvin Klein Petite Belted Pants Navy 14P</t>
  </si>
  <si>
    <t>194414547135</t>
  </si>
  <si>
    <t>X8USC140</t>
  </si>
  <si>
    <t>Calvin Klein Plus Size Soft Crepe Pencil Sk Black 14W</t>
  </si>
  <si>
    <t>190466044325</t>
  </si>
  <si>
    <t>Calvin Klein Petite Belted Pants Navy 6P</t>
  </si>
  <si>
    <t>194414547166</t>
  </si>
  <si>
    <t>Kasper Plus Size Cross-Dye Straight-F BlackIvory 20W</t>
  </si>
  <si>
    <t>93488266648</t>
  </si>
  <si>
    <t>Kasper Plus Size Carly Trouser Pants Black 24W</t>
  </si>
  <si>
    <t>716357725519</t>
  </si>
  <si>
    <t>CeCe Smocked Pintuck Blouse Rich Black L</t>
  </si>
  <si>
    <t>193768453307</t>
  </si>
  <si>
    <t>MFOZSH2906</t>
  </si>
  <si>
    <t>NYDJ Tummy-Control Pull-On Denim Sh Black 12</t>
  </si>
  <si>
    <t>194477029265</t>
  </si>
  <si>
    <t>CeCe Ruched-Sleeve V-Neck Top Mountain Rose XS</t>
  </si>
  <si>
    <t>193768512912</t>
  </si>
  <si>
    <t>GUESS Agnes Sweater Skirt Cream White L</t>
  </si>
  <si>
    <t>7620207155780</t>
  </si>
  <si>
    <t>GUESS Agnes Sweater Skirt Grey Citadel XL</t>
  </si>
  <si>
    <t>7620207155742</t>
  </si>
  <si>
    <t>GUESS Surfari Cargo Skirt Tie Dye Zebra Print Blue 0</t>
  </si>
  <si>
    <t>195124296795</t>
  </si>
  <si>
    <t>JJMS1KT643</t>
  </si>
  <si>
    <t>b new york Cotton Padded-Shoulder Tank To Ivory S</t>
  </si>
  <si>
    <t>663309950683</t>
  </si>
  <si>
    <t>Bar III Plus Size Wide-Leg Tie-Waist P Navywhite 20W</t>
  </si>
  <si>
    <t>93488210436</t>
  </si>
  <si>
    <t>Bar III Plus Size Side-Tie Slim Pants Blanc 18W</t>
  </si>
  <si>
    <t>93488673507</t>
  </si>
  <si>
    <t>TSMU1WP220</t>
  </si>
  <si>
    <t>Tahari ASL Heather Bi-Stretch Ankle Pants Oyster Grey 16</t>
  </si>
  <si>
    <t>635273832012</t>
  </si>
  <si>
    <t>Bar III Trendy Plus Size Flare-Leg Pan Purple 24W</t>
  </si>
  <si>
    <t>93488556947</t>
  </si>
  <si>
    <t>Bar III Plus Size Wide-Leg Tie-Waist P Navywhite 16W</t>
  </si>
  <si>
    <t>93488210412</t>
  </si>
  <si>
    <t>Bar III Plus Size High-Waist Pull-On P Flax 16W</t>
  </si>
  <si>
    <t>93488208129</t>
  </si>
  <si>
    <t>Bar III Plus Size Cropped Pull-On Pant Medium Wash 3X</t>
  </si>
  <si>
    <t>93488765967</t>
  </si>
  <si>
    <t>SILVER JEANS/WESTERN GLOVE WORK</t>
  </si>
  <si>
    <t>30X31</t>
  </si>
  <si>
    <t>L94443EPX495</t>
  </si>
  <si>
    <t>Silver Jeans Co. Avery High-Rise Straight-Leg J Indigo 30R</t>
  </si>
  <si>
    <t>681283324269</t>
  </si>
  <si>
    <t>POLYESTER/SPANDEX; TRIM AND LINING: POLYESTER</t>
  </si>
  <si>
    <t>X99PX23A</t>
  </si>
  <si>
    <t>Calvin Klein Plus Size High-Waist Tuxedo Pa Black 18W</t>
  </si>
  <si>
    <t>193623139148</t>
  </si>
  <si>
    <t>Calvin Klein Plus Size High-Waist Tuxedo Pa Black 14W</t>
  </si>
  <si>
    <t>193623139162</t>
  </si>
  <si>
    <t>Calvin Klein Belted Wide-Leg Cropped Pants Black 10</t>
  </si>
  <si>
    <t>193623065904</t>
  </si>
  <si>
    <t>CPE7383A</t>
  </si>
  <si>
    <t>Calvin Klein Calvin Klein Petite Cotton But Baby Blue 10P</t>
  </si>
  <si>
    <t>192351651786</t>
  </si>
  <si>
    <t>Kasper Cropped Wide-Leg Pants Pebble Beige 8</t>
  </si>
  <si>
    <t>93488222668</t>
  </si>
  <si>
    <t>TP94623X</t>
  </si>
  <si>
    <t>Tommy Hilfiger Plus Size Flag Colorblocked Zi Rich Red 2X</t>
  </si>
  <si>
    <t>192114197452</t>
  </si>
  <si>
    <t>Anne Klein Linen-Blend Tie-Sash Midi Dres Siren Blue XS</t>
  </si>
  <si>
    <t>93488715597</t>
  </si>
  <si>
    <t>Anne Klein Printed Faux-Wrap Dress Poppy Combo XL</t>
  </si>
  <si>
    <t>93488773405</t>
  </si>
  <si>
    <t>Le Suit Plus Size Plaid Notch-Collar P BlackDaisy Multi 18W</t>
  </si>
  <si>
    <t>93487971253</t>
  </si>
  <si>
    <t>Calvin Klein Trendy Plus Size Pull-On Pants Navy 24W</t>
  </si>
  <si>
    <t>194414367085</t>
  </si>
  <si>
    <t>Calvin Klein Trendy Plus Size Pull-On Pants Navy 20W</t>
  </si>
  <si>
    <t>194414367108</t>
  </si>
  <si>
    <t>Calvin Klein Trendy Plus Size Pull-On Pants Navy 14W</t>
  </si>
  <si>
    <t>194414367139</t>
  </si>
  <si>
    <t>X0JPL841</t>
  </si>
  <si>
    <t>Calvin Klein Plus Size Slim-Fit Pants BLUE 20W</t>
  </si>
  <si>
    <t>195046447329</t>
  </si>
  <si>
    <t>Calvin Klein Plus Size Elastic-Back Slim-Le Rose 16W</t>
  </si>
  <si>
    <t>195046289127</t>
  </si>
  <si>
    <t>Calvin Klein Plus Size Elastic-Back Slim-Le Rose 22W</t>
  </si>
  <si>
    <t>195046289097</t>
  </si>
  <si>
    <t>Kasper Plus Size Ruffle-Front Top White 1X</t>
  </si>
  <si>
    <t>93488359227</t>
  </si>
  <si>
    <t>Kasper Plus Size Tab-Waist Stretch-Cr Summer Straw Beige 24W</t>
  </si>
  <si>
    <t>93488318798</t>
  </si>
  <si>
    <t>Kasper Plus Size Tab-Waist Stretch-Cr Summer Straw Beige 16W</t>
  </si>
  <si>
    <t>93488318750</t>
  </si>
  <si>
    <t>Kasper Plus Size Printed Dress Black Multi 2X</t>
  </si>
  <si>
    <t>93488102212</t>
  </si>
  <si>
    <t>DR51359</t>
  </si>
  <si>
    <t>Donna Ricco Portrait-Collar A-Line Dress Hot Pink 12</t>
  </si>
  <si>
    <t>889648522194</t>
  </si>
  <si>
    <t>W0YQ10RD440</t>
  </si>
  <si>
    <t>GUESS Aidy Colorblocked Pants Classic Ink Multi M</t>
  </si>
  <si>
    <t>193327714887</t>
  </si>
  <si>
    <t>MGWRSH8181</t>
  </si>
  <si>
    <t>NYDJ A-Line Denim Shorts Astral 2</t>
  </si>
  <si>
    <t>194477220587</t>
  </si>
  <si>
    <t>GUESS Raylynn Henley Ribbed Dress Light Rum XL</t>
  </si>
  <si>
    <t>195124135353</t>
  </si>
  <si>
    <t>GUESS Raylynn Henley Ribbed Dress Salamander S</t>
  </si>
  <si>
    <t>195124135414</t>
  </si>
  <si>
    <t>INC International Concepts Chiffon Maxi Dress Periwinkle 14</t>
  </si>
  <si>
    <t>93488289081</t>
  </si>
  <si>
    <t>Anne Klein Printed Grommet-Detail Shift D Poppy Combo M</t>
  </si>
  <si>
    <t>93488773221</t>
  </si>
  <si>
    <t>DKNY Pull-On Ankle Pants Blue Fog Heather 6</t>
  </si>
  <si>
    <t>603556561539</t>
  </si>
  <si>
    <t>ADRIANNA BY ADRIANNA PAPELL/ADRIANN</t>
  </si>
  <si>
    <t>AP1D103031</t>
  </si>
  <si>
    <t>Adrianna Papell Chiffon-Overlay A-line Dress Sugar Coral S</t>
  </si>
  <si>
    <t>652933243247</t>
  </si>
  <si>
    <t>INC International Concepts Chiffon Maxi Dress Periwinkle 12</t>
  </si>
  <si>
    <t>93488289074</t>
  </si>
  <si>
    <t>INC International Concepts Sleeveless Wide-Leg Jumpsuit Garden Green 4</t>
  </si>
  <si>
    <t>93488669128</t>
  </si>
  <si>
    <t>DKNY Pull-On Ankle Pants Blue Fog Heather 2</t>
  </si>
  <si>
    <t>603556561515</t>
  </si>
  <si>
    <t>Anne Klein Button-Front Jacket Magritte Blue S</t>
  </si>
  <si>
    <t>93488301967</t>
  </si>
  <si>
    <t>100% RAYON</t>
  </si>
  <si>
    <t>81215720K6</t>
  </si>
  <si>
    <t>1.STATE 1.STATE V-Neck Tiered Maxi Dre Ultra White XL</t>
  </si>
  <si>
    <t>195203789644</t>
  </si>
  <si>
    <t>Anne Klein Cotton Check Puff-Sleeve Blous Magritte Blue White 10</t>
  </si>
  <si>
    <t>93488349044</t>
  </si>
  <si>
    <t>Anne Klein Button-Front Jacket Magritte Blue XXL</t>
  </si>
  <si>
    <t>93488301998</t>
  </si>
  <si>
    <t>M0IKO226</t>
  </si>
  <si>
    <t>Calvin Klein Pleat-Front Faux-Leather Cropp Tobacco 12</t>
  </si>
  <si>
    <t>195046552283</t>
  </si>
  <si>
    <t>Anne Klein Plus Size Flat-Front Stretch P Black Forest 16W</t>
  </si>
  <si>
    <t>93488023197</t>
  </si>
  <si>
    <t>Tahari ASL Petite Shannon Slim Ankle Pant Heather Grey 14P</t>
  </si>
  <si>
    <t>635273646770</t>
  </si>
  <si>
    <t>Kasper Petite Crepe One-Button Jacket Vanilla Ice 12P</t>
  </si>
  <si>
    <t>93487327531</t>
  </si>
  <si>
    <t>Anne Klein Plus Size Printed Pleated A-Li VicunaAnn Black 2X</t>
  </si>
  <si>
    <t>93487894521</t>
  </si>
  <si>
    <t>DKNY Mixed-Media Asymmetrical-Hem M Whiteblack XL</t>
  </si>
  <si>
    <t>795730538540</t>
  </si>
  <si>
    <t>Anne Klein Plus Size Raglan-Sleeve Jacket MAGRITTE BLUE 3X</t>
  </si>
  <si>
    <t>93488373056</t>
  </si>
  <si>
    <t>W1GK03R9UO2</t>
  </si>
  <si>
    <t>GUESS Long-Sleeve Camryn Ribbed Body Jet Black S</t>
  </si>
  <si>
    <t>195124199898</t>
  </si>
  <si>
    <t>W1YK08R2BF4</t>
  </si>
  <si>
    <t>GUESS Lana Button-Front Bodycon Dres Ocean Salt M</t>
  </si>
  <si>
    <t>195124302823</t>
  </si>
  <si>
    <t>GUESS Engineered Ribbed Midi Dress Dove White L</t>
  </si>
  <si>
    <t>193327512247</t>
  </si>
  <si>
    <t>W0BN0ER3AF0</t>
  </si>
  <si>
    <t>GUESS Trucker Jean Jacket Jet Black S</t>
  </si>
  <si>
    <t>195124098085</t>
  </si>
  <si>
    <t>GUESS Zuma Drawstring Cargo Pants Natural L</t>
  </si>
  <si>
    <t>195124296573</t>
  </si>
  <si>
    <t>DKNY Skinny Ankle Pants Light Gray Heather 8</t>
  </si>
  <si>
    <t>802892580000</t>
  </si>
  <si>
    <t>Kasper Plaid Straight-Leg Pants Fir Green Multi 10</t>
  </si>
  <si>
    <t>716357726004</t>
  </si>
  <si>
    <t>2530M</t>
  </si>
  <si>
    <t>Taylor Printed Voile A-Line Midi Dres Indigo Multi 10</t>
  </si>
  <si>
    <t>194686197014</t>
  </si>
  <si>
    <t>Kasper Plus Size Pencil Skirt Black 14W</t>
  </si>
  <si>
    <t>716357747528</t>
  </si>
  <si>
    <t>G0SPC058</t>
  </si>
  <si>
    <t>Karl Lagerfeld Paris Crepe Trousers Black 4</t>
  </si>
  <si>
    <t>190169084703</t>
  </si>
  <si>
    <t>71NEZ</t>
  </si>
  <si>
    <t>French Connection Sekai Neon Denim Sheath Dress Orange Pop 4</t>
  </si>
  <si>
    <t>192942563283</t>
  </si>
  <si>
    <t>Kasper Plus Size Stretch-Crepe Cuffed Summer Straw Beige 16W</t>
  </si>
  <si>
    <t>93488326274</t>
  </si>
  <si>
    <t>CeCe Puff-Sleeve Cropped Denim Jack Skyline Blue S</t>
  </si>
  <si>
    <t>195203403144</t>
  </si>
  <si>
    <t>POLYESTER/COTTON; LINING: POLYESTER</t>
  </si>
  <si>
    <t>UG9JR698</t>
  </si>
  <si>
    <t>DKNY Collarless Peplum Jacket Black 10</t>
  </si>
  <si>
    <t>795733136606</t>
  </si>
  <si>
    <t>95% VISCOSE/5% ELASTANE</t>
  </si>
  <si>
    <t>71QNX</t>
  </si>
  <si>
    <t>French Connection Paze Ribbed Bodycon Dress Indigo 2</t>
  </si>
  <si>
    <t>192942904703</t>
  </si>
  <si>
    <t>INC International Concepts Embroidered Off-The-Shoulder M Silverblack 6</t>
  </si>
  <si>
    <t>93488649649</t>
  </si>
  <si>
    <t>DKNY Belted Vest Denim Blue 16</t>
  </si>
  <si>
    <t>794278452530</t>
  </si>
  <si>
    <t>W1YK47RD8G1</t>
  </si>
  <si>
    <t>GUESS Jasia Printed Mini Dress Fac Tie Dye Zebra Print Blue XL</t>
  </si>
  <si>
    <t>195124304025</t>
  </si>
  <si>
    <t>GUESS Lea Palazzo Jumpsuit Grecian Blue XS</t>
  </si>
  <si>
    <t>195124154347</t>
  </si>
  <si>
    <t>Calvin Klein Tech Zip-Front Stretch Jacket White L</t>
  </si>
  <si>
    <t>195046074662</t>
  </si>
  <si>
    <t>MGTBCP8176</t>
  </si>
  <si>
    <t>NYDJ Wide-Leg Capri Pull-On Jeans Cln Slstic 2</t>
  </si>
  <si>
    <t>194477355302</t>
  </si>
  <si>
    <t>MGTBSK8212</t>
  </si>
  <si>
    <t>NYDJ High-Rise A-Line Jean Skirt Destructed Lunar 12</t>
  </si>
  <si>
    <t>194477220358</t>
  </si>
  <si>
    <t>Anne Klein Printed Tie-Waist Dress Light AsterPoppy 16</t>
  </si>
  <si>
    <t>93488230076</t>
  </si>
  <si>
    <t>Kasper Open-Front Jacket Mariner Blue S</t>
  </si>
  <si>
    <t>93488299776</t>
  </si>
  <si>
    <t>Vince Camuto Chiffon Flutter-Sleeve Dress Periwinkle 2</t>
  </si>
  <si>
    <t>194592894267</t>
  </si>
  <si>
    <t>Anne Klein Plus Size Collared Jacket NYC White 3X</t>
  </si>
  <si>
    <t>93488329145</t>
  </si>
  <si>
    <t>62% COTTON/18% RAYON/17% POLYESTER/3% SPANDEX</t>
  </si>
  <si>
    <t>CeCe Puff-Sleeve Cropped Denim Jack Soft Ecru XL</t>
  </si>
  <si>
    <t>193768613534</t>
  </si>
  <si>
    <t>CeCe Puff-Sleeve Cropped Denim Jack Soft Ecru S</t>
  </si>
  <si>
    <t>193768613503</t>
  </si>
  <si>
    <t>P1AJ1I11</t>
  </si>
  <si>
    <t>DKNY Utility Jacket Black XL</t>
  </si>
  <si>
    <t>794278927861</t>
  </si>
  <si>
    <t>P0DC8DMI</t>
  </si>
  <si>
    <t>DKNY Satin Relaxed Blazer Ivory 2</t>
  </si>
  <si>
    <t>795730272475</t>
  </si>
  <si>
    <t>Bar III Plus Size 34-Sleeve Blazer Navywhite 1X</t>
  </si>
  <si>
    <t>93488210368</t>
  </si>
  <si>
    <t>Bar III Plus Size 34-Sleeve Blazer Navywhite 2X</t>
  </si>
  <si>
    <t>93488210375</t>
  </si>
  <si>
    <t>Tommy Hilfiger Crinkled Long Jacket Midnight 6</t>
  </si>
  <si>
    <t>195105650677</t>
  </si>
  <si>
    <t>Calvin Klein French Terry Long Cardigan Black PS</t>
  </si>
  <si>
    <t>193623038120</t>
  </si>
  <si>
    <t>NYDJ Barbara Tummy-Control Bootcut Black 12S</t>
  </si>
  <si>
    <t>889982762027</t>
  </si>
  <si>
    <t>Kasper Plus Size Fringed Jacquard Bla Black Multi 2X</t>
  </si>
  <si>
    <t>93488357100</t>
  </si>
  <si>
    <t>MDNM2034</t>
  </si>
  <si>
    <t>NYDJ Tummy-Control Slim-Leg Jeans Rinse 10</t>
  </si>
  <si>
    <t>889982557562</t>
  </si>
  <si>
    <t>NYDJ Marilyn Tummy-Control Straight Cooper 2</t>
  </si>
  <si>
    <t>889982553786</t>
  </si>
  <si>
    <t>NYDJ Barbara Tummy-Control Bootcut Rinse 10</t>
  </si>
  <si>
    <t>889982566977</t>
  </si>
  <si>
    <t>MGWRKA8105</t>
  </si>
  <si>
    <t>NYDJ Teresa Wide-Leg Cropped Denim Radiance Wash 12</t>
  </si>
  <si>
    <t>194477196103</t>
  </si>
  <si>
    <t>12952WM</t>
  </si>
  <si>
    <t>Morgan Company Trendy Plus Size Trumpet-Skirt White 20W</t>
  </si>
  <si>
    <t>707762395480</t>
  </si>
  <si>
    <t>VC0M1536</t>
  </si>
  <si>
    <t>Vince Camuto Wide-Leg Jumpsuit Fuchsia 16</t>
  </si>
  <si>
    <t>689886061482</t>
  </si>
  <si>
    <t>Vince Camuto Eyelet Fit Flare Dress Ivory 8</t>
  </si>
  <si>
    <t>689886082678</t>
  </si>
  <si>
    <t>Kasper Printed 34-Sleeve Blazer Valencia Orange Multi 6</t>
  </si>
  <si>
    <t>93488084181</t>
  </si>
  <si>
    <t>DRAFT - Pandora Top Nude M</t>
  </si>
  <si>
    <t>840201211924</t>
  </si>
  <si>
    <t>From Grayscale Keyhole Jumpsuit Lime Green L</t>
  </si>
  <si>
    <t>850029373247</t>
  </si>
  <si>
    <t>Le Suit One-Button Zip-Pocket Pinstrip WhiteGrey 18</t>
  </si>
  <si>
    <t>93488128564</t>
  </si>
  <si>
    <t>DRAFT - Pandora Top Nude L</t>
  </si>
  <si>
    <t>840201211931</t>
  </si>
  <si>
    <t>DRAFT - Pandora Top Nude XL</t>
  </si>
  <si>
    <t>840201211948</t>
  </si>
  <si>
    <t>DRAFT - Pandora Top Nude XS</t>
  </si>
  <si>
    <t>840201211900</t>
  </si>
  <si>
    <t>DRAFT - Pandora Top Nude S</t>
  </si>
  <si>
    <t>840201211917</t>
  </si>
  <si>
    <t>Kasper Plus Size Striped Chambray Jac Chambray Multi 18W</t>
  </si>
  <si>
    <t>716357564620</t>
  </si>
  <si>
    <t>HR1M8366</t>
  </si>
  <si>
    <t>HARPER ROSE Printed Tie-Waist Shirtdress Navy Ivory 16</t>
  </si>
  <si>
    <t>194592877338</t>
  </si>
  <si>
    <t>HARPER ROSE Printed Tie-Waist Shirtdress Navy Ivory 10</t>
  </si>
  <si>
    <t>194592880369</t>
  </si>
  <si>
    <t>UI9JF400</t>
  </si>
  <si>
    <t>DKNY Velvet Open-Front Blazer Black 10</t>
  </si>
  <si>
    <t>795733104094</t>
  </si>
  <si>
    <t>M0EBF907</t>
  </si>
  <si>
    <t>Calvin Klein Check-Print Wrap Dress Soft WhiteLatte Combo 16</t>
  </si>
  <si>
    <t>194414223923</t>
  </si>
  <si>
    <t>HR0M7302</t>
  </si>
  <si>
    <t>HARPER ROSE Aline Tweed Shift Dress Wine Multi 6</t>
  </si>
  <si>
    <t>194592943545</t>
  </si>
  <si>
    <t>X13JA73O</t>
  </si>
  <si>
    <t>Calvin Klein Plus Size Printed Jacket Luggage Multi 22W</t>
  </si>
  <si>
    <t>195046070046</t>
  </si>
  <si>
    <t>W1GK0YWDV70</t>
  </si>
  <si>
    <t>GUESS Aida Smocked Gingham Dress Pink White Vichy S</t>
  </si>
  <si>
    <t>7618483455755</t>
  </si>
  <si>
    <t>GUESS Amaia Lace-Trim Chambray Tunic Indigo Glaze S</t>
  </si>
  <si>
    <t>195124166630</t>
  </si>
  <si>
    <t>Anne Klein Printed Midi Dress Cherry Blossom Combo 14</t>
  </si>
  <si>
    <t>93488668084</t>
  </si>
  <si>
    <t>DKNY One-Button Blazer Light Gray Heather 2</t>
  </si>
  <si>
    <t>802892582721</t>
  </si>
  <si>
    <t>SS2114</t>
  </si>
  <si>
    <t>DRAFT - Holter top Black L</t>
  </si>
  <si>
    <t>840201211733</t>
  </si>
  <si>
    <t>DRAFT - Holter top Black M</t>
  </si>
  <si>
    <t>840201211726</t>
  </si>
  <si>
    <t>DRAFT - Holter top Black S</t>
  </si>
  <si>
    <t>840201211719</t>
  </si>
  <si>
    <t>DRAFT - Holter top Black XL</t>
  </si>
  <si>
    <t>840201211740</t>
  </si>
  <si>
    <t>DRAFT - Holter top Black XS</t>
  </si>
  <si>
    <t>840201211702</t>
  </si>
  <si>
    <t>From Grayscale Shimmer Capri Pants Rose Gold M</t>
  </si>
  <si>
    <t>850029373438</t>
  </si>
  <si>
    <t>Bar III Plus Size Roll Tab Jacket Medium Wash 2X</t>
  </si>
  <si>
    <t>93488762966</t>
  </si>
  <si>
    <t>Bar III Plus Size Roll Tab Jacket Medium Wash 3X</t>
  </si>
  <si>
    <t>93488762973</t>
  </si>
  <si>
    <t>Bar III Plus Size Roll Tab Jacket Medium Wash 1X</t>
  </si>
  <si>
    <t>93488762959</t>
  </si>
  <si>
    <t>X0SJB559</t>
  </si>
  <si>
    <t>Calvin Klein Plus Size Collarless Blazer White 24W</t>
  </si>
  <si>
    <t>194414395163</t>
  </si>
  <si>
    <t>Tahari ASL Peak-Collar Blazer Heather Gray 12P</t>
  </si>
  <si>
    <t>191151396828</t>
  </si>
  <si>
    <t>French Connection Elao Printed Draped Puff-Sleev Fiery Red Multi 4</t>
  </si>
  <si>
    <t>192942838220</t>
  </si>
  <si>
    <t>51% COTTON/49% VISCOSE</t>
  </si>
  <si>
    <t>LSH1357WH93</t>
  </si>
  <si>
    <t>Barbour Printed Shirt Off White Coast 4</t>
  </si>
  <si>
    <t>194972222543</t>
  </si>
  <si>
    <t>95% COTTON/5% ELASTANE</t>
  </si>
  <si>
    <t>LDR0414NY73</t>
  </si>
  <si>
    <t>Barbour Overland Striped Tank Dress Navy 6</t>
  </si>
  <si>
    <t>194972201289</t>
  </si>
  <si>
    <t>W3074EYA</t>
  </si>
  <si>
    <t>DKNY Notched-Lapel Sleeveless Blaze Black 4</t>
  </si>
  <si>
    <t>802892116087</t>
  </si>
  <si>
    <t>71HZF</t>
  </si>
  <si>
    <t>French Connection Sleeveless Sheath Dress Black 8</t>
  </si>
  <si>
    <t>887916362985</t>
  </si>
  <si>
    <t>Anne Klein Jacquard Fit Flare Dress Anne White 8</t>
  </si>
  <si>
    <t>93488290896</t>
  </si>
  <si>
    <t>Splendid Printed Dropped-Shoulder Sweat Multi S</t>
  </si>
  <si>
    <t>193666591330</t>
  </si>
  <si>
    <t>LTR0277IN52</t>
  </si>
  <si>
    <t>Barbour Otterburn Jeans Authentic Wash 8</t>
  </si>
  <si>
    <t>194972165017</t>
  </si>
  <si>
    <t>LDR0403NY73</t>
  </si>
  <si>
    <t>Barbour Auklet Cotton Striped Dress Navy Stripe 6</t>
  </si>
  <si>
    <t>194972200510</t>
  </si>
  <si>
    <t>S1OLA-T5436M</t>
  </si>
  <si>
    <t>Eileen Fisher Organic Linen Mandarin-Collar White M</t>
  </si>
  <si>
    <t>193481824552</t>
  </si>
  <si>
    <t>S1FTJ-T5691M</t>
  </si>
  <si>
    <t>Eileen Fisher High-Low Top White XL</t>
  </si>
  <si>
    <t>193481569293</t>
  </si>
  <si>
    <t>75% COTTON/13% LYOCELL/9% RAYON/3% ELASTANE</t>
  </si>
  <si>
    <t>AU8693352C</t>
  </si>
  <si>
    <t>7 For All Mankind Coated High-Rise Ankle Skinny Merlocoted 26</t>
  </si>
  <si>
    <t>190392884910</t>
  </si>
  <si>
    <t>S1OJO-D4991P</t>
  </si>
  <si>
    <t>Eileen Fisher Eileen Fisher Crewneck T-Shirt Moon PP</t>
  </si>
  <si>
    <t>193481727204</t>
  </si>
  <si>
    <t>Barbour Striped Sleeveless Dress Cloud 12</t>
  </si>
  <si>
    <t>194972200893</t>
  </si>
  <si>
    <t>D86WSAM</t>
  </si>
  <si>
    <t>Dauntless Sam Gabardine Chiffon Coat Lt Pastel Blue L</t>
  </si>
  <si>
    <t>850027946320</t>
  </si>
  <si>
    <t>Eileen Fisher Organic Cotton Ankle Track Pan Seaweed S</t>
  </si>
  <si>
    <t>193481642668</t>
  </si>
  <si>
    <t>7U305495</t>
  </si>
  <si>
    <t>7 For All Mankind The High-Waisted Cropped Strai Mineral Rose 25</t>
  </si>
  <si>
    <t>190392922964</t>
  </si>
  <si>
    <t>LOS0021RE31</t>
  </si>
  <si>
    <t>Barbour Saltwater Cotton Twill Overshi Mulberry 4</t>
  </si>
  <si>
    <t>194972316204</t>
  </si>
  <si>
    <t>LOS0019NY73</t>
  </si>
  <si>
    <t>Barbour Pippa Cotton Printed Quilted J Navy 10</t>
  </si>
  <si>
    <t>194972215460</t>
  </si>
  <si>
    <t>FAUX-FUR FRONT: 100% POLYESTER; BACK: 69% SEAWOOL POLYESTER/31% POLYESTER POPLIN; LINING: 100% POLYESTER</t>
  </si>
  <si>
    <t>JJMF0WJ250</t>
  </si>
  <si>
    <t>b new york Faux-Fur Hooded Coat Canteen Canteen S</t>
  </si>
  <si>
    <t>663309885268</t>
  </si>
  <si>
    <t>LSP0034ST11</t>
  </si>
  <si>
    <t>Barbour Millford Trench Coat Mistblue Mist 12</t>
  </si>
  <si>
    <t>194972225407</t>
  </si>
  <si>
    <t>Riley Rae Striped Puff-Sleeve Top BlackEcru L</t>
  </si>
  <si>
    <t>195203154640</t>
  </si>
  <si>
    <t>RK519351X</t>
  </si>
  <si>
    <t>Ultra Flirt Juniors Plus Size Fleece Hood Charcoal 3X</t>
  </si>
  <si>
    <t>190744976713</t>
  </si>
  <si>
    <t>AMANDA SHORT MSY</t>
  </si>
  <si>
    <t>8868383259</t>
  </si>
  <si>
    <t>Riley Rae Chelsea Striped Sweater Rich Black XS</t>
  </si>
  <si>
    <t>195203159447</t>
  </si>
  <si>
    <t>Riley Rae Chelsea Striped Sweater Rich Black S</t>
  </si>
  <si>
    <t>195203159454</t>
  </si>
  <si>
    <t>Riley Rae Kaia Ribbed Lettuce-Edge Top Aegean Sea XS</t>
  </si>
  <si>
    <t>195203512945</t>
  </si>
  <si>
    <t>Vince Camuto Plus Size Short Sleeve Zebra P New Ivory 2X</t>
  </si>
  <si>
    <t>195203589862</t>
  </si>
  <si>
    <t>Jessica Simpson Amelie Ruched Bodysuit Gardenia XS</t>
  </si>
  <si>
    <t>8868198501</t>
  </si>
  <si>
    <t>TP10725T</t>
  </si>
  <si>
    <t>Tommy Hilfiger Cutout-Back OmbreT-Shirt Deep BlueWhite Combo L</t>
  </si>
  <si>
    <t>195105781357</t>
  </si>
  <si>
    <t>GF934586168</t>
  </si>
  <si>
    <t>Champion Powerblend Graphic Hoodie Black M</t>
  </si>
  <si>
    <t>194164694646</t>
  </si>
  <si>
    <t>Riley Rae Audrey Top Sapphire Lake S</t>
  </si>
  <si>
    <t>195203397122</t>
  </si>
  <si>
    <t>Kasper Floral-Print Cowl-Neck Top Mariner Blue Multi XXL</t>
  </si>
  <si>
    <t>93488293675</t>
  </si>
  <si>
    <t>W1DHU053</t>
  </si>
  <si>
    <t>Calvin Klein Plus Size Solid Side-Tie Top Soft White 1X</t>
  </si>
  <si>
    <t>195046057979</t>
  </si>
  <si>
    <t>Tommy Hilfiger Tommy Hilfiger Sport Womens L Scarlet L</t>
  </si>
  <si>
    <t>195105832080</t>
  </si>
  <si>
    <t>J1BM6530</t>
  </si>
  <si>
    <t>Tommy Hilfiger Cotton Plaid Roll-Tab Shirt Bayfront Plaid- Viridian Multi XS</t>
  </si>
  <si>
    <t>195105763261</t>
  </si>
  <si>
    <t>J0CM0530</t>
  </si>
  <si>
    <t>Tommy Hilfiger Roll-Tab Button-Up Shirt Dahlia XS</t>
  </si>
  <si>
    <t>190607301195</t>
  </si>
  <si>
    <t>Bar III Plus Size Printed Blouse RoseFjord Blue Combo 2X</t>
  </si>
  <si>
    <t>93488765912</t>
  </si>
  <si>
    <t>BAM128</t>
  </si>
  <si>
    <t>BAM by Betsy Adam Raw-Hem Shorts, Created for Ma Ice Grey L</t>
  </si>
  <si>
    <t>195170032415</t>
  </si>
  <si>
    <t>O1GA41MC03X</t>
  </si>
  <si>
    <t>GUESS Medium Support Active Bra Allover Dye Shade Peachskin L</t>
  </si>
  <si>
    <t>7618483396706</t>
  </si>
  <si>
    <t>Tommy Hilfiger Tommy Hilfiger Sport Womens F Blossom XS</t>
  </si>
  <si>
    <t>195105831878</t>
  </si>
  <si>
    <t>1.STATE Mock V-Neck Blouse Night Meadow XS</t>
  </si>
  <si>
    <t>193768962823</t>
  </si>
  <si>
    <t>Kasper Striped 34-Sleeve Cotton Shir Blackwhite 14</t>
  </si>
  <si>
    <t>93488237181</t>
  </si>
  <si>
    <t>Tommy Jeans Patchwork Slip Dress Scarlet Multi S</t>
  </si>
  <si>
    <t>195105800386</t>
  </si>
  <si>
    <t>Anne Klein Sunburst Peplum Top Siren Blue XXS</t>
  </si>
  <si>
    <t>93488294856</t>
  </si>
  <si>
    <t>CeCe Dot-Print Tiered Puff-Sleeve T Moonlit M</t>
  </si>
  <si>
    <t>195203425757</t>
  </si>
  <si>
    <t>W0EA9547</t>
  </si>
  <si>
    <t>Calvin Klein Plus Size Printed Roll-Tab Top Orange Floral 1X</t>
  </si>
  <si>
    <t>194414236381</t>
  </si>
  <si>
    <t>W0PAL547</t>
  </si>
  <si>
    <t>Calvin Klein Plus Size Printed Roll-Tab Top Twilight Combo 0X</t>
  </si>
  <si>
    <t>194414020348</t>
  </si>
  <si>
    <t>12890WM</t>
  </si>
  <si>
    <t>Morgan Company Morgan Company Trendy Plus S Rose Gold 20W</t>
  </si>
  <si>
    <t>707762358843</t>
  </si>
  <si>
    <t>Jessica Simpson Embroidered Straight-Leg Raw-H Back Roads 28</t>
  </si>
  <si>
    <t>8868257468</t>
  </si>
  <si>
    <t>Kasper Plus Size Straight-Leg Pants Tutu Pink 16W</t>
  </si>
  <si>
    <t>93488662280</t>
  </si>
  <si>
    <t>Kasper Plus Size Tweed Pencil Skirt Tutu Pink Multi 22W</t>
  </si>
  <si>
    <t>93488657675</t>
  </si>
  <si>
    <t>BAM115MT2</t>
  </si>
  <si>
    <t>BAM by Betsy Adam Hoodie With Removable Mask NavyTie Dye M</t>
  </si>
  <si>
    <t>195170020771</t>
  </si>
  <si>
    <t>Tommy Hilfiger Lace-Up Shift Dress Samba XS</t>
  </si>
  <si>
    <t>190607223305</t>
  </si>
  <si>
    <t>W0EAI609</t>
  </si>
  <si>
    <t>Calvin Klein Plus Size Smocked-Shoulder Blo Hibiscus 0X</t>
  </si>
  <si>
    <t>194414236015</t>
  </si>
  <si>
    <t>M0INP381</t>
  </si>
  <si>
    <t>DRAFT - FLARE HEM SKRT WBLT Brown Plaid 12</t>
  </si>
  <si>
    <t>195046670369</t>
  </si>
  <si>
    <t>Anne Klein Plus Size Printed Split-Neck T Rouge Combo 2X</t>
  </si>
  <si>
    <t>93488530886</t>
  </si>
  <si>
    <t>CeCe Pom Pom-Trim Top Rich Black L</t>
  </si>
  <si>
    <t>193768673958</t>
  </si>
  <si>
    <t>Calvin Klein Plus Size Slim-Fit Pants BLUE 22W</t>
  </si>
  <si>
    <t>195046447312</t>
  </si>
  <si>
    <t>Kasper Plus Size Wide-Leg Pants Black 2X</t>
  </si>
  <si>
    <t>93488662815</t>
  </si>
  <si>
    <t>DRAFT - CALVIN KLEIN PLUS SIZE Navy 20W</t>
  </si>
  <si>
    <t>194414383986</t>
  </si>
  <si>
    <t>Kasper Plus Size Floral-Print Dress Mariner Blue Multi 2X</t>
  </si>
  <si>
    <t>93488695349</t>
  </si>
  <si>
    <t>Anne Klein Cotton Check Puff-Sleeve Blous Magritte Blue White 4</t>
  </si>
  <si>
    <t>93488349105</t>
  </si>
  <si>
    <t>Kasper Tropical 34-Sleeve Blazer Lily White 8</t>
  </si>
  <si>
    <t>93487806777</t>
  </si>
  <si>
    <t>W1GA94D4AQ4</t>
  </si>
  <si>
    <t>GUESS Ultimate Skinny High Rise Jean Whatever Fast 24</t>
  </si>
  <si>
    <t>7618483908046</t>
  </si>
  <si>
    <t>Anne Klein Contrast-Trim Top Anne WhiteBlack XS</t>
  </si>
  <si>
    <t>93488248804</t>
  </si>
  <si>
    <t>Bar III Trendy Plus Size One-Button Bl Black 20W</t>
  </si>
  <si>
    <t>93488291930</t>
  </si>
  <si>
    <t>W1BEW067</t>
  </si>
  <si>
    <t>Calvin Klein Plus Size Open-Front Knit Jack Black 1X</t>
  </si>
  <si>
    <t>195046320813</t>
  </si>
  <si>
    <t>VC1M2708</t>
  </si>
  <si>
    <t>Vince Camuto Bow-Neck Shift Dress Blush White 14</t>
  </si>
  <si>
    <t>194592897107</t>
  </si>
  <si>
    <t>H06JX34A</t>
  </si>
  <si>
    <t>Tommy Hilfiger Elbow-Patch One-Button Blazer Multi 12</t>
  </si>
  <si>
    <t>195105828007</t>
  </si>
  <si>
    <t>Anne Klein Plus Size Printed Fit Flare Siren BlueNYC White 22W</t>
  </si>
  <si>
    <t>93488342663</t>
  </si>
  <si>
    <t>Kasper Single-Button 34-Sleeve Blaze Blackivory L</t>
  </si>
  <si>
    <t>93488304395</t>
  </si>
  <si>
    <t>LSC0306KH71</t>
  </si>
  <si>
    <t>Barbour Spruce Floral-Print Scarf Indienne 1</t>
  </si>
  <si>
    <t>192569964036</t>
  </si>
  <si>
    <t>Kasper Plus Size Open-Front Ombre Car SilverBlack 1X</t>
  </si>
  <si>
    <t>93488511212</t>
  </si>
  <si>
    <t>H04JZ891</t>
  </si>
  <si>
    <t>Tommy Hilfiger Plaid Single-Button Blazer Navywhite 2</t>
  </si>
  <si>
    <t>190607190300</t>
  </si>
  <si>
    <t>Tommy Hilfiger Plaid Single-Button Blazer Navywhite 4</t>
  </si>
  <si>
    <t>190607190294</t>
  </si>
  <si>
    <t>H13JA845</t>
  </si>
  <si>
    <t>Tommy Hilfiger Ribbon-Trim Blazer Midnight 10</t>
  </si>
  <si>
    <t>195105704981</t>
  </si>
  <si>
    <t>Kasper Plus Size Striped Chambray Jac Chambray Multi 20W</t>
  </si>
  <si>
    <t>716357564637</t>
  </si>
  <si>
    <t>LOLA JEANS/DSA APPAREL INC</t>
  </si>
  <si>
    <t>REESE SLB 33</t>
  </si>
  <si>
    <t>Lola Jeans Womens High-Rise Wide Leg Jea Open Blue 33</t>
  </si>
  <si>
    <t>804383074340</t>
  </si>
  <si>
    <t>From Grayscale Denim Halter Mini Dress Dark Blue S</t>
  </si>
  <si>
    <t>850029373278</t>
  </si>
  <si>
    <t>ESWXMB4500</t>
  </si>
  <si>
    <t>Sam Edelman The Stiletto High-Rise Straigh Marbella 8</t>
  </si>
  <si>
    <t>193653221431</t>
  </si>
  <si>
    <t>W1YK1BWE1K0</t>
  </si>
  <si>
    <t>GUESS Liliana Silk Maxi Dress Atmosphere Blue S</t>
  </si>
  <si>
    <t>7620207165765</t>
  </si>
  <si>
    <t>Weekend Max Mara Gessy Textured Top Azzurro S</t>
  </si>
  <si>
    <t>8051312119340</t>
  </si>
  <si>
    <t>7 For All Mankind Floral-Print High-Rise Jeans Botanical Iris 30</t>
  </si>
  <si>
    <t>190392943365</t>
  </si>
  <si>
    <t>Junk Food Womens Cotton Tie-Dyed One Lo Tie Dye S</t>
  </si>
  <si>
    <t>194973801655</t>
  </si>
  <si>
    <t>Junk Food Womens Cotton Tie-Dyed One Lo Tie Dye M</t>
  </si>
  <si>
    <t>194973801662</t>
  </si>
  <si>
    <t>Champion Cotton Pull-On Shorts Deep Forte Blue L</t>
  </si>
  <si>
    <t>77478960532</t>
  </si>
  <si>
    <t>Tommy Hilfiger Plus Size Striped Cotton T-Shi Saturday Stripes- Iconic Multi 1X</t>
  </si>
  <si>
    <t>195105816974</t>
  </si>
  <si>
    <t>Tommy Jeans Ribbed V-Neck T-Shirt Heron M</t>
  </si>
  <si>
    <t>190607205059</t>
  </si>
  <si>
    <t>T0EH0ADH</t>
  </si>
  <si>
    <t>Tommy Jeans Ribbed V-Neck T-Shirt Curacao M</t>
  </si>
  <si>
    <t>190607206643</t>
  </si>
  <si>
    <t>Tommy Jeans Ribbed V-Neck T-Shirt Heron XL</t>
  </si>
  <si>
    <t>190607205035</t>
  </si>
  <si>
    <t>Champion Cropped Colorblocked T-Shirt WhiteFantastic Fucshia XL</t>
  </si>
  <si>
    <t>77478990263</t>
  </si>
  <si>
    <t>Champion Logo Cropped T-Shirt Chalk White M</t>
  </si>
  <si>
    <t>194164680311</t>
  </si>
  <si>
    <t>Champion Womens Cotton Cropped T-Shirt Fantastic Fuchsia XL</t>
  </si>
  <si>
    <t>77478993851</t>
  </si>
  <si>
    <t>194164680328</t>
  </si>
  <si>
    <t>Champion Cropped Colorblocked T-Shirt WhiteFantastic Fucshia M</t>
  </si>
  <si>
    <t>77478990249</t>
  </si>
  <si>
    <t>GT949586144</t>
  </si>
  <si>
    <t>Champion Cotton Logo Boyfriend T-Shirt Water Iris XS</t>
  </si>
  <si>
    <t>194164720482</t>
  </si>
  <si>
    <t>Junk Food Cotton Coca-Cola-Graphic T-Shi Luche Tie Dye L</t>
  </si>
  <si>
    <t>194973878824</t>
  </si>
  <si>
    <t>Jessica Simpson Sawyer Petal-Sleeve T-Shirt Daydream Gardenia M</t>
  </si>
  <si>
    <t>8868456908</t>
  </si>
  <si>
    <t>Splendid Solana Thermal Ribbed-Edge Top Jasmine L</t>
  </si>
  <si>
    <t>193666568592</t>
  </si>
  <si>
    <t>J9RH0905</t>
  </si>
  <si>
    <t>Tommy Hilfiger Cotton Logo T-Shirt Stone Grey Heather S</t>
  </si>
  <si>
    <t>192114043070</t>
  </si>
  <si>
    <t>J3097RZD1525A</t>
  </si>
  <si>
    <t>Dickies Tie-Dyed Logo Graphic T-Shirt Washed Green Tie Dye XS</t>
  </si>
  <si>
    <t>792831374350</t>
  </si>
  <si>
    <t>12UXAC119</t>
  </si>
  <si>
    <t>Junk Food Womens ACDC Cotton T-Shirt Grey Tie Dye XS</t>
  </si>
  <si>
    <t>194973812163</t>
  </si>
  <si>
    <t>Champion Logo-Print Cropped T-Shirt Layered Scripts Hush Pink L</t>
  </si>
  <si>
    <t>194164673078</t>
  </si>
  <si>
    <t>T1DH0ZBC</t>
  </si>
  <si>
    <t>Tommy Jeans Cropped Flag T-Shirt Fairytale XL</t>
  </si>
  <si>
    <t>195105701041</t>
  </si>
  <si>
    <t>Tommy Jeans Cotton Logo-Graphic Cropped T- Skylight XL</t>
  </si>
  <si>
    <t>195105823071</t>
  </si>
  <si>
    <t>Tommy Jeans Cropped Flag T-Shirt Bleached Aqua XL</t>
  </si>
  <si>
    <t>195105700921</t>
  </si>
  <si>
    <t>Gloria Vanderbilt Gloria Vanderbilt Womens Aman Grey Opal 12</t>
  </si>
  <si>
    <t>8868260451</t>
  </si>
  <si>
    <t>Gloria Vanderbilt Gloria Vanderbilt Womens Aman Sage Meadows 14</t>
  </si>
  <si>
    <t>8868342225</t>
  </si>
  <si>
    <t>Gloria Vanderbilt Gloria Vanderbilt Womens Aman Grey Opal 4</t>
  </si>
  <si>
    <t>8868260512</t>
  </si>
  <si>
    <t>Gloria Vanderbilt Gloria Vanderbilt Womens Pull Heather Gray 4</t>
  </si>
  <si>
    <t>8867589195</t>
  </si>
  <si>
    <t>Kingston Grey Trendy Plus Size Twist-Front F Black 1X</t>
  </si>
  <si>
    <t>708008678817</t>
  </si>
  <si>
    <t>Kingston Grey Trendy Plus Size Twist-Front M Black 1X</t>
  </si>
  <si>
    <t>708008678879</t>
  </si>
  <si>
    <t>Tommy Hilfiger Polo Shirt Chili XL</t>
  </si>
  <si>
    <t>192114031657</t>
  </si>
  <si>
    <t>J1GH0304</t>
  </si>
  <si>
    <t>Tommy Hilfiger Cotton Turtleneck Top Rosette M</t>
  </si>
  <si>
    <t>195105559413</t>
  </si>
  <si>
    <t>Tommy Hilfiger Heart-Graphic T-Shirt Bright White L</t>
  </si>
  <si>
    <t>195105753118</t>
  </si>
  <si>
    <t>Tommy Hilfiger Heart-Graphic T-Shirt Stone Grey Heather M</t>
  </si>
  <si>
    <t>195105748077</t>
  </si>
  <si>
    <t>Tommy Hilfiger Womens Striped Logo Shorts Fuchsia Pink XL</t>
  </si>
  <si>
    <t>195105778920</t>
  </si>
  <si>
    <t>TP03989T</t>
  </si>
  <si>
    <t>Tommy Hilfiger Cropped Tank Top Scarlet M</t>
  </si>
  <si>
    <t>195105681459</t>
  </si>
  <si>
    <t>Tommy Hilfiger Womens Striped Logo Shorts Scarlet XS</t>
  </si>
  <si>
    <t>195105779026</t>
  </si>
  <si>
    <t>Tommy Hilfiger Waffle-Knit T-Shirt Deep Blue XXL</t>
  </si>
  <si>
    <t>195105780497</t>
  </si>
  <si>
    <t>Tommy Hilfiger Womens Striped Logo Shorts White M</t>
  </si>
  <si>
    <t>195105779125</t>
  </si>
  <si>
    <t>Riley Rae Drawstring Shorts Coral Reef XXL</t>
  </si>
  <si>
    <t>195203684963</t>
  </si>
  <si>
    <t>Riley Rae Drawstring Shorts Rich Black L</t>
  </si>
  <si>
    <t>195203684598</t>
  </si>
  <si>
    <t>Riley Rae Lily Tank Top Rich Black XL</t>
  </si>
  <si>
    <t>195203683621</t>
  </si>
  <si>
    <t>Riley Rae Drawstring Shorts Preppy Navy XXL</t>
  </si>
  <si>
    <t>195203684895</t>
  </si>
  <si>
    <t>Riley Rae Printed Tie-Shoulder Top Ruby Blush S</t>
  </si>
  <si>
    <t>195203684369</t>
  </si>
  <si>
    <t>Gloria Vanderbilt Gloria Vanderbilt Pleated Shor Bondi 14</t>
  </si>
  <si>
    <t>8868794116</t>
  </si>
  <si>
    <t>Gloria Vanderbilt Gloria Vanderbilt Pleated Shor Rust 14</t>
  </si>
  <si>
    <t>8868794017</t>
  </si>
  <si>
    <t>Gloria Vanderbilt Gloria Vanderbilt Pleated Shor Sunsoaked 12</t>
  </si>
  <si>
    <t>8868795403</t>
  </si>
  <si>
    <t>B1429G551382</t>
  </si>
  <si>
    <t>Champion The Authentic Cutout-Back Mid- Lilac Wash S</t>
  </si>
  <si>
    <t>194164660153</t>
  </si>
  <si>
    <t>Champion Womens The Authentic Medium-I Black L</t>
  </si>
  <si>
    <t>77478839609</t>
  </si>
  <si>
    <t>Gloria Vanderbilt Gloria Vanderbilt Womens Aman Cheetah 10</t>
  </si>
  <si>
    <t>8868769862</t>
  </si>
  <si>
    <t>Gloria Vanderbilt Gloria Vanderbilt Womens Aman Bondi W Whiskers 10</t>
  </si>
  <si>
    <t>8868310545</t>
  </si>
  <si>
    <t>Gloria Vanderbilt Gloria Vanderbilt Womens Aman Isla 10</t>
  </si>
  <si>
    <t>8868769763</t>
  </si>
  <si>
    <t>Gloria Vanderbilt Gloria Vanderbilt Womens Aman Bondi W Whiskers 8</t>
  </si>
  <si>
    <t>8868310637</t>
  </si>
  <si>
    <t>X9JCM76Q</t>
  </si>
  <si>
    <t>Calvin Klein Plus Size Pleated Sleeveless T Blush Multi 2X</t>
  </si>
  <si>
    <t>194414816064</t>
  </si>
  <si>
    <t>Riley Rae Cotton Cosette Puff-Sleeve Swe Heritage Blue M</t>
  </si>
  <si>
    <t>195203396095</t>
  </si>
  <si>
    <t>CeCe Ruffled T-Shirt Kitten Pink XS</t>
  </si>
  <si>
    <t>195203432731</t>
  </si>
  <si>
    <t>UA1TL173</t>
  </si>
  <si>
    <t>DKNY 34-Sleeve Side-Knot Jersey To Black M</t>
  </si>
  <si>
    <t>794278645291</t>
  </si>
  <si>
    <t>Anne Klein Plus Size Printed Pleated Top Siren BlueNYC White 1X</t>
  </si>
  <si>
    <t>93488330912</t>
  </si>
  <si>
    <t>Madden Girl Juniors Smocked-Waist Cropped Indigo S</t>
  </si>
  <si>
    <t>193290741552</t>
  </si>
  <si>
    <t>Tommy Jeans Cotton Logo-Print T-Shirt Bright White XS</t>
  </si>
  <si>
    <t>195105751527</t>
  </si>
  <si>
    <t>Jessica Simpson Amelie Ruched Bodysuit Gardenia S</t>
  </si>
  <si>
    <t>8868198488</t>
  </si>
  <si>
    <t>PF0X6139</t>
  </si>
  <si>
    <t>Calvin Klein Plus Size Logo Print Leggings Steel Combo 2X</t>
  </si>
  <si>
    <t>194414313853</t>
  </si>
  <si>
    <t>Gloria Vanderbilt Gloria Vanderbilt Generation H Parkes 4</t>
  </si>
  <si>
    <t>8868348043</t>
  </si>
  <si>
    <t>Gloria Vanderbilt Gloria Vanderbilt Generation H Arlington 4</t>
  </si>
  <si>
    <t>8868347947</t>
  </si>
  <si>
    <t>Gloria Vanderbilt Gloria Vanderbilt Generation H Parkes 16</t>
  </si>
  <si>
    <t>8868348005</t>
  </si>
  <si>
    <t>POLYESTER/COTTON/SPANDEX</t>
  </si>
  <si>
    <t>PF6X6084</t>
  </si>
  <si>
    <t>Calvin Klein Plus Size Active Cropped Leggi Black Combo 2X</t>
  </si>
  <si>
    <t>889609803430</t>
  </si>
  <si>
    <t>J0EHR257</t>
  </si>
  <si>
    <t>Tommy Hilfiger Berry-Print Polo Berry Dot- French Blue Combo- XS</t>
  </si>
  <si>
    <t>190607230068</t>
  </si>
  <si>
    <t>Tommy Hilfiger Plus Size Floral-Print Striped White 3X</t>
  </si>
  <si>
    <t>190607309788</t>
  </si>
  <si>
    <t>Madden Girl Juniors Drawstring-Hem Dress Black L</t>
  </si>
  <si>
    <t>193290739061</t>
  </si>
  <si>
    <t>W1YI88R44J0</t>
  </si>
  <si>
    <t>GUESS Riptide Embellished Cropped T- Pure White XL</t>
  </si>
  <si>
    <t>195124301925</t>
  </si>
  <si>
    <t>Tommy Jeans Contrast-Hem Shorts Bright White XL</t>
  </si>
  <si>
    <t>195105699997</t>
  </si>
  <si>
    <t>Tommy Jeans Short Sleeve V-Neck Bodysuit Bright White XXS</t>
  </si>
  <si>
    <t>195105759486</t>
  </si>
  <si>
    <t>Tommy Jeans Short Sleeve Flag Tee Dress Black S</t>
  </si>
  <si>
    <t>195105700297</t>
  </si>
  <si>
    <t>Tommy Jeans Short Sleeve Flag Tee Dress Black L</t>
  </si>
  <si>
    <t>195105700273</t>
  </si>
  <si>
    <t>P8RHJ467</t>
  </si>
  <si>
    <t>DKNY Sequined Jersey T-Shirt White L</t>
  </si>
  <si>
    <t>802892078019</t>
  </si>
  <si>
    <t>DKNY Sequined Jersey T-Shirt White S</t>
  </si>
  <si>
    <t>802892078033</t>
  </si>
  <si>
    <t>Calvin Klein Plus Size Printed T-Shirt Palm Shade Stardust 2X</t>
  </si>
  <si>
    <t>195841937605</t>
  </si>
  <si>
    <t>Calvin Klein Plus Size Solid Rolled-Cuff To Crystal Blue 3X</t>
  </si>
  <si>
    <t>194414396962</t>
  </si>
  <si>
    <t>Calvin Klein Plus Size Icon Logo T-Shirt Stardust 3X</t>
  </si>
  <si>
    <t>195841932426</t>
  </si>
  <si>
    <t>Calvin Klein Plus Size Printed T-Shirt Palm Shade Stardust 1X</t>
  </si>
  <si>
    <t>195841937612</t>
  </si>
  <si>
    <t>CeCe Ruffled-Sleeve Blouse Rich Black M</t>
  </si>
  <si>
    <t>720655505773</t>
  </si>
  <si>
    <t>Jessica Simpson Melinda Printed Ribbed-Knit To Crabapple Tie Dye XS</t>
  </si>
  <si>
    <t>8868198150</t>
  </si>
  <si>
    <t>Tommy Hilfiger Cutout OmbreTank Dress Tropical Peachdeep Blue Combo M</t>
  </si>
  <si>
    <t>195105768297</t>
  </si>
  <si>
    <t>Tommy Hilfiger Plus Size Cuffed Shorts Fuchsia 2X</t>
  </si>
  <si>
    <t>195105728260</t>
  </si>
  <si>
    <t>Riley Rae Tropical Amber Sun Printed Top Ruby Blush M</t>
  </si>
  <si>
    <t>195203795638</t>
  </si>
  <si>
    <t>E12F8HMW</t>
  </si>
  <si>
    <t>DKNY Jeans Embellished T-Shirt Petrol XL</t>
  </si>
  <si>
    <t>794278615522</t>
  </si>
  <si>
    <t>Tommy Hilfiger Plus Size Waffle-Knit Half-Zip Fuchsia Pink 2X</t>
  </si>
  <si>
    <t>190607387922</t>
  </si>
  <si>
    <t>W0BW0127</t>
  </si>
  <si>
    <t>Tommy Hilfiger Plus Size Drawstring-Waist Sho Black 3X</t>
  </si>
  <si>
    <t>195105759059</t>
  </si>
  <si>
    <t>Dickies Button-Fly Tie-Dye Cuffed Shor Navy White 11</t>
  </si>
  <si>
    <t>792831296157</t>
  </si>
  <si>
    <t>GUESS Jada Off-Shoulder Top Wispy Pink M</t>
  </si>
  <si>
    <t>195124169587</t>
  </si>
  <si>
    <t>UA1TL105</t>
  </si>
  <si>
    <t>DKNY Side-Knot Top White S</t>
  </si>
  <si>
    <t>794278753309</t>
  </si>
  <si>
    <t>Bar III Plus Size Floral-Print Camisol Whiterosewood Combo 1X</t>
  </si>
  <si>
    <t>93488766384</t>
  </si>
  <si>
    <t>81115363A2</t>
  </si>
  <si>
    <t>1.STATE Printed Puff-Sleeve Blouse Cameo Coral XL</t>
  </si>
  <si>
    <t>195203600888</t>
  </si>
  <si>
    <t>1.STATE One-Shoulder Top Silver Heather S</t>
  </si>
  <si>
    <t>195203295978</t>
  </si>
  <si>
    <t>81% ACRYLIC/19% LUREXÂ®</t>
  </si>
  <si>
    <t>1.STATE One-Shoulder Top Silver Heather M</t>
  </si>
  <si>
    <t>195203295985</t>
  </si>
  <si>
    <t>1.STATE Flutter-Sleeve Top Chic Zebra M</t>
  </si>
  <si>
    <t>195203538396</t>
  </si>
  <si>
    <t>90% NYLON/10% SPANDEX</t>
  </si>
  <si>
    <t>81114318F3</t>
  </si>
  <si>
    <t>1.STATE Flutter-Sleeve Top Soft Ecru M</t>
  </si>
  <si>
    <t>195203529387</t>
  </si>
  <si>
    <t>CeCe Floral-Print Peplum-Hem Top Soft Ecru XS</t>
  </si>
  <si>
    <t>195203883847</t>
  </si>
  <si>
    <t>Calvin Klein Plus Size Tie-Dyed Logo Shirt Sydney Melrose 1X</t>
  </si>
  <si>
    <t>195841937308</t>
  </si>
  <si>
    <t>Calvin Klein Plus Size Tie-Dyed Logo Shirt Sydney Melrose 2X</t>
  </si>
  <si>
    <t>195841937292</t>
  </si>
  <si>
    <t>Riley Rae Ada Pants Ultra White XXL</t>
  </si>
  <si>
    <t>195203684543</t>
  </si>
  <si>
    <t>Riley Rae Iris Puff-Shoulder Blouse Rich Black M</t>
  </si>
  <si>
    <t>195203510163</t>
  </si>
  <si>
    <t>Riley Rae Iris Puff-Shoulder Blouse Legacy Pink L</t>
  </si>
  <si>
    <t>195203510668</t>
  </si>
  <si>
    <t>Tommy Hilfiger Plus Size Floral-Print Polo Sh Tompkins Park- Bright White Mu 0X</t>
  </si>
  <si>
    <t>195105794258</t>
  </si>
  <si>
    <t>GUESS Logo-Tape Active Sports Bra Lead Grey S</t>
  </si>
  <si>
    <t>7618483394139</t>
  </si>
  <si>
    <t>Vince Camuto Vince Camuto Plus Size Halter Rich Black 2X</t>
  </si>
  <si>
    <t>195203757506</t>
  </si>
  <si>
    <t>Tommy Jeans Distressed Denim Skirt Summer Blue 30</t>
  </si>
  <si>
    <t>195105800430</t>
  </si>
  <si>
    <t>Tommy Jeans Cap-Sleeve Logo Dress Sky Captain XL</t>
  </si>
  <si>
    <t>195105752074</t>
  </si>
  <si>
    <t>O1GA23MC03W</t>
  </si>
  <si>
    <t>GUESS Medium-Support Active Sports B Allover Logo Grey S</t>
  </si>
  <si>
    <t>7618483394832</t>
  </si>
  <si>
    <t>GUESS Lace-Up Leggings Touch of Mauve XL</t>
  </si>
  <si>
    <t>7618483390438</t>
  </si>
  <si>
    <t>DKNY Mesh-Overlay Scoop-Neck Top Tropical L</t>
  </si>
  <si>
    <t>795730516975</t>
  </si>
  <si>
    <t>DKNY Mesh-Overlay Scoop-Neck Top Tropical XL</t>
  </si>
  <si>
    <t>795730514643</t>
  </si>
  <si>
    <t>PF1X0238</t>
  </si>
  <si>
    <t>Calvin Klein Plus Size Logo Hooded Top Aquatic 1X</t>
  </si>
  <si>
    <t>195841932471</t>
  </si>
  <si>
    <t>PF1X0234</t>
  </si>
  <si>
    <t>Calvin Klein Plus Size Graffiti-Logo Hooded Black 3X</t>
  </si>
  <si>
    <t>195841936998</t>
  </si>
  <si>
    <t>Calvin Klein Plus Size Cotton Convertible B Charcoal 2X</t>
  </si>
  <si>
    <t>195046201754</t>
  </si>
  <si>
    <t>PF0X6005</t>
  </si>
  <si>
    <t>Calvin Klein Rib-Trim Jogger Pants Black 1X</t>
  </si>
  <si>
    <t>195046925476</t>
  </si>
  <si>
    <t>Calvin Klein Plus Size Logo-Graphic Pullove Bleached Aqua 2X</t>
  </si>
  <si>
    <t>195046157570</t>
  </si>
  <si>
    <t>Champion Heritage Joggers Black L</t>
  </si>
  <si>
    <t>192503599522</t>
  </si>
  <si>
    <t>Jessica Simpson Jessica Simpson Lisa Tie-Dye T Cherry Icecream Print S</t>
  </si>
  <si>
    <t>8868187659</t>
  </si>
  <si>
    <t>Jessica Simpson Christina Printed Blouse Gardenia XS</t>
  </si>
  <si>
    <t>8867161483</t>
  </si>
  <si>
    <t>J0GMH530</t>
  </si>
  <si>
    <t>Tommy Hilfiger Plaid Roll-Tab Shirt Pale Blue Multi S</t>
  </si>
  <si>
    <t>195105977040</t>
  </si>
  <si>
    <t>Tommy Hilfiger Cotton OmbreJogger Pants Deep BlueWhite Combo XL</t>
  </si>
  <si>
    <t>195105781401</t>
  </si>
  <si>
    <t>Tommy Hilfiger Womens Star-Print Cropped Leg Deep Blue L</t>
  </si>
  <si>
    <t>195105681541</t>
  </si>
  <si>
    <t>Tommy Hilfiger Hollywood Sailboat-Print Short Bitty Boats- Sky Captain Multi 2</t>
  </si>
  <si>
    <t>192114517915</t>
  </si>
  <si>
    <t>COTTON/POLYESTER/RAYON/SPANDEX</t>
  </si>
  <si>
    <t>J9GK0391</t>
  </si>
  <si>
    <t>Tommy Hilfiger Tommy Hilfiger Sateen Skinny A Camel 16</t>
  </si>
  <si>
    <t>192114194666</t>
  </si>
  <si>
    <t>Tommy Hilfiger Womens Star-Print Cropped Leg Deep Blue S</t>
  </si>
  <si>
    <t>195105681565</t>
  </si>
  <si>
    <t>Tommy Hilfiger Womens Star-Print Cropped Leg Deep Blue XL</t>
  </si>
  <si>
    <t>195105681534</t>
  </si>
  <si>
    <t>Tommy Hilfiger Womens Star-Print Cropped Leg Deep Blue XS</t>
  </si>
  <si>
    <t>195105681572</t>
  </si>
  <si>
    <t>Tommy Hilfiger Tommy Hilfiger Womens Sport H Deep Blue M</t>
  </si>
  <si>
    <t>195105833025</t>
  </si>
  <si>
    <t>Tommy Hilfiger Tommy Hilfiger Womens Sport H Deep Blue XL</t>
  </si>
  <si>
    <t>195105833001</t>
  </si>
  <si>
    <t>Tommy Hilfiger Tommy Hilfiger Womens Sport H Deep Blue XXL</t>
  </si>
  <si>
    <t>195105832998</t>
  </si>
  <si>
    <t>Tommy Hilfiger Womens Striped Colorblocked D Scarlet L</t>
  </si>
  <si>
    <t>195105779354</t>
  </si>
  <si>
    <t>Tommy Hilfiger Tommy Hilfiger Womens Sport H Deep Blue S</t>
  </si>
  <si>
    <t>195105833032</t>
  </si>
  <si>
    <t>Tommy Hilfiger Womens Striped Colorblocked D Scarlet S</t>
  </si>
  <si>
    <t>195105779378</t>
  </si>
  <si>
    <t>Tommy Hilfiger Womens Striped Colorblocked D Deep Blue L</t>
  </si>
  <si>
    <t>195105779415</t>
  </si>
  <si>
    <t>Tommy Hilfiger Tommy Hilfiger Womens Sport H Deep Blue XS</t>
  </si>
  <si>
    <t>195105833049</t>
  </si>
  <si>
    <t>Anne Klein Plus Size Sleeveless Surplice Anne Black 2X</t>
  </si>
  <si>
    <t>93488670964</t>
  </si>
  <si>
    <t>Nine West Clip-Dot Top BlackLily White XL</t>
  </si>
  <si>
    <t>93488090816</t>
  </si>
  <si>
    <t>CeCe Floral Ruffled Square Neck Blo Orange Floral XL</t>
  </si>
  <si>
    <t>195203627434</t>
  </si>
  <si>
    <t>CeCe Smocked-Strap Tank Top Soft Ecru L</t>
  </si>
  <si>
    <t>195203637860</t>
  </si>
  <si>
    <t>CeCe Embroidered Puff-Sleeve Top Rich Black S</t>
  </si>
  <si>
    <t>195203805344</t>
  </si>
  <si>
    <t>81214802C2</t>
  </si>
  <si>
    <t>1.STATE 1.STATE Strapless Romper Twilight Navy M</t>
  </si>
  <si>
    <t>195203782584</t>
  </si>
  <si>
    <t>Riley Rae Tiered Cap-Sleeve Dress Soft Ecru XL</t>
  </si>
  <si>
    <t>195203685946</t>
  </si>
  <si>
    <t>Bar III Trendy Plus Size Printed Ruffl Navywhite 2X</t>
  </si>
  <si>
    <t>93488210504</t>
  </si>
  <si>
    <t>UC0TYD87</t>
  </si>
  <si>
    <t>DKNY Pleated Floral-Print Top Classic Navy Multi S</t>
  </si>
  <si>
    <t>795730667523</t>
  </si>
  <si>
    <t>Bar III Plus Size Scoop-Neck Tank DaylilyPink Punch 1X</t>
  </si>
  <si>
    <t>93488677444</t>
  </si>
  <si>
    <t>M1BH7052</t>
  </si>
  <si>
    <t>DRAFT - Calvin Klein Contrast- Soft White M</t>
  </si>
  <si>
    <t>195046354214</t>
  </si>
  <si>
    <t>M0EAZ514</t>
  </si>
  <si>
    <t>Calvin Klein Tie-Dyed Camisole TangerineHibiscus Multi S</t>
  </si>
  <si>
    <t>194414225903</t>
  </si>
  <si>
    <t>Calvin Klein Tie-Dyed Camisole TangerineHibiscus Multi XL</t>
  </si>
  <si>
    <t>194414225873</t>
  </si>
  <si>
    <t>MY8031COCA</t>
  </si>
  <si>
    <t>Seven7 Utility Joggers Forest Cam XL</t>
  </si>
  <si>
    <t>194278128723</t>
  </si>
  <si>
    <t>Seven7 Utility Joggers Forest Cam L</t>
  </si>
  <si>
    <t>194278128716</t>
  </si>
  <si>
    <t>W1AMP488</t>
  </si>
  <si>
    <t>Tommy Hilfiger Plus Size Gingham Camp Shirt Primark Plaid- Bridal Rose Mul 3X</t>
  </si>
  <si>
    <t>195105816554</t>
  </si>
  <si>
    <t>G9STY18A</t>
  </si>
  <si>
    <t>Karl Lagerfeld Paris Paris Sleeveless Pearl-Neck Wo Soft White S</t>
  </si>
  <si>
    <t>191898223524</t>
  </si>
  <si>
    <t>Kasper Printed Tie-Neck Tank Dandelion Combo XL</t>
  </si>
  <si>
    <t>93488754497</t>
  </si>
  <si>
    <t>127051J</t>
  </si>
  <si>
    <t>BCX Trendy Plus Size Embellished A Black 2X</t>
  </si>
  <si>
    <t>826410243253</t>
  </si>
  <si>
    <t>CeCe Ruffled V-Neck Blouse Garden Rose XS</t>
  </si>
  <si>
    <t>195203412979</t>
  </si>
  <si>
    <t>Kasper Petite Pleated-Neck Top Wedgewood Blue Multi PL</t>
  </si>
  <si>
    <t>93488306344</t>
  </si>
  <si>
    <t>O1RA33MC04E</t>
  </si>
  <si>
    <t>GUESS Cut-Out Tank Top Black Combo Greenish L</t>
  </si>
  <si>
    <t>7620207192938</t>
  </si>
  <si>
    <t>T0AK2FZF</t>
  </si>
  <si>
    <t>Tommy Jeans High-Rise Skinny Jeans Elliot 29</t>
  </si>
  <si>
    <t>190607355433</t>
  </si>
  <si>
    <t>Tommy Jeans V-Neck Sweatshirt Dress Sky Captain L</t>
  </si>
  <si>
    <t>195105792018</t>
  </si>
  <si>
    <t>Riley Rae Tiered Tie-Neck Dress Peach Mimosa 4</t>
  </si>
  <si>
    <t>195203797519</t>
  </si>
  <si>
    <t>33RRM158</t>
  </si>
  <si>
    <t>Tahari ASL Sleeveless Pleat-Neck Top Ivory White M</t>
  </si>
  <si>
    <t>884449529182</t>
  </si>
  <si>
    <t>Riley Rae Tiered Tie-Neck Dress Peach Mimosa 8</t>
  </si>
  <si>
    <t>195203797533</t>
  </si>
  <si>
    <t>Calvin Klein Plus Size Logo Leggings Black 3X</t>
  </si>
  <si>
    <t>195841951083</t>
  </si>
  <si>
    <t>PF1X6340</t>
  </si>
  <si>
    <t>Calvin Klein Plus Size Logo Sweatpants Black Heather 3X</t>
  </si>
  <si>
    <t>195046513079</t>
  </si>
  <si>
    <t>Calvin Klein Plus Size Logo Leggings Black 2X</t>
  </si>
  <si>
    <t>195841951090</t>
  </si>
  <si>
    <t>DKNY Logo-Graphic T-Shirt Dress White L</t>
  </si>
  <si>
    <t>794278960929</t>
  </si>
  <si>
    <t>Calvin Klein Plus Size Tie-Dyed Pull-On Leg Sea Level 2X</t>
  </si>
  <si>
    <t>195841935823</t>
  </si>
  <si>
    <t>Tommy Hilfiger Long-Sleeve Woven Tunic Ivory Multi S</t>
  </si>
  <si>
    <t>195105642900</t>
  </si>
  <si>
    <t>Jessica Simpson Sade Printed Wrap Dress Emberglowmini Florals XS</t>
  </si>
  <si>
    <t>8867159398</t>
  </si>
  <si>
    <t>W1GP26R9UO1</t>
  </si>
  <si>
    <t>GUESS Vivi 34-Sleeve Cut-Out Back T Tear Drop Lace XL</t>
  </si>
  <si>
    <t>195124137906</t>
  </si>
  <si>
    <t>W0YP64RD460</t>
  </si>
  <si>
    <t>GUESS Milan Bustier Top Water Marble Print L</t>
  </si>
  <si>
    <t>195124163318</t>
  </si>
  <si>
    <t>Calvin Klein Trendy Plus Size Printed V-Nec Blue Multi 3X</t>
  </si>
  <si>
    <t>194414526031</t>
  </si>
  <si>
    <t>O1GA52MC03X</t>
  </si>
  <si>
    <t>GUESS GUESS Printed Leggings Allover Dye Shade Peach XS</t>
  </si>
  <si>
    <t>7618483398175</t>
  </si>
  <si>
    <t>W1CMH053</t>
  </si>
  <si>
    <t>Tommy Hilfiger Plus Size Cotton Cuffed Shirt PeonyWhite 3X</t>
  </si>
  <si>
    <t>195105713464</t>
  </si>
  <si>
    <t>Tommy Hilfiger Womens Half-Zip Colorblocked Scarlet XL</t>
  </si>
  <si>
    <t>195105778562</t>
  </si>
  <si>
    <t>Tommy Hilfiger Plus Size Cotton Cuffed Shirt PeonyWhite 0X</t>
  </si>
  <si>
    <t>195105713457</t>
  </si>
  <si>
    <t>Tommy Hilfiger Plus Size Double Cloth Camp Sh Mandarin Multi 1X</t>
  </si>
  <si>
    <t>190607221578</t>
  </si>
  <si>
    <t>Tommy Hilfiger Plus Size Cotton Cuffed Shirt PeonyWhite 2X</t>
  </si>
  <si>
    <t>195105713471</t>
  </si>
  <si>
    <t>Tommy Hilfiger Plus Size Cotton Cuffed Shirt PeonyWhite 1X</t>
  </si>
  <si>
    <t>195105713488</t>
  </si>
  <si>
    <t>Tommy Hilfiger Ruffled Halter Top Samba M</t>
  </si>
  <si>
    <t>190607222612</t>
  </si>
  <si>
    <t>Tommy Hilfiger Cargo Skirt Natural 4</t>
  </si>
  <si>
    <t>190607221660</t>
  </si>
  <si>
    <t>J0EME530</t>
  </si>
  <si>
    <t>Tommy Hilfiger Bonita Burnout Roll-Tab Shirt Bonita Burnout- Grenadine S</t>
  </si>
  <si>
    <t>190607226023</t>
  </si>
  <si>
    <t>J0CD0473</t>
  </si>
  <si>
    <t>Tommy Hilfiger Eyelet-Embroidered Side-Stripe Bright White L</t>
  </si>
  <si>
    <t>190607305117</t>
  </si>
  <si>
    <t>TP04718J</t>
  </si>
  <si>
    <t>Tommy Hilfiger Drop-Shoulder Zip Hoodie Fuchsia Pink M</t>
  </si>
  <si>
    <t>195105785256</t>
  </si>
  <si>
    <t>Tommy Hilfiger Logo-Waistband Joggers Pearl Grey Heather XL</t>
  </si>
  <si>
    <t>195105783054</t>
  </si>
  <si>
    <t>Tommy Hilfiger Cargo Jogger Pants Everyday Grey S</t>
  </si>
  <si>
    <t>195105779828</t>
  </si>
  <si>
    <t>Riley Rae Jamie Sequin-Star Sweater Rich Black XL</t>
  </si>
  <si>
    <t>195203326146</t>
  </si>
  <si>
    <t>CeCe Ruffled V-Neck Tie Top Tropic Nig L</t>
  </si>
  <si>
    <t>195203628929</t>
  </si>
  <si>
    <t>81214702L1</t>
  </si>
  <si>
    <t>1.STATE 1.STATE Ruffle Strap Cami Dres Citrus Yellow M</t>
  </si>
  <si>
    <t>195203782447</t>
  </si>
  <si>
    <t>COTTON/ POLYESTER</t>
  </si>
  <si>
    <t>81215716K3</t>
  </si>
  <si>
    <t>1.STATE 1.STATE Ruffle Strap Mini Dres Iris Blue XS</t>
  </si>
  <si>
    <t>195203788692</t>
  </si>
  <si>
    <t>1.STATE 1.STATE Ruffle Strap Cami Dres Citrus Yellow XS</t>
  </si>
  <si>
    <t>195203782423</t>
  </si>
  <si>
    <t>1.STATE Animal-Print Pants Chic Zebra S</t>
  </si>
  <si>
    <t>195203538242</t>
  </si>
  <si>
    <t>CeCe Ruffled V-Neck Tie Top Magenta Gl S</t>
  </si>
  <si>
    <t>195203645032</t>
  </si>
  <si>
    <t>1.STATE Smocked Puff-Sleeve Top Cameo Coral XS</t>
  </si>
  <si>
    <t>195203605692</t>
  </si>
  <si>
    <t>1.STATE 1.STATE Womens Smocked Puff-S Floral Twilight S</t>
  </si>
  <si>
    <t>195203605425</t>
  </si>
  <si>
    <t>1.STATE Pull-On Jogging Pants Rich Black XXS</t>
  </si>
  <si>
    <t>195203530895</t>
  </si>
  <si>
    <t>JJMU1KT680</t>
  </si>
  <si>
    <t>b new york Cotton Built-In Bra Tank Top Cabaret M</t>
  </si>
  <si>
    <t>663309962464</t>
  </si>
  <si>
    <t>W1DAA620</t>
  </si>
  <si>
    <t>Calvin Klein Plus Size Textured Cotton Top Soft White 2X</t>
  </si>
  <si>
    <t>195046061129</t>
  </si>
  <si>
    <t>Anne Klein Mesh-Yoke Sleeveless Top Camellia L</t>
  </si>
  <si>
    <t>93488223092</t>
  </si>
  <si>
    <t>Champion Embroidered Logo Sweatshirt Black M</t>
  </si>
  <si>
    <t>194164930560</t>
  </si>
  <si>
    <t>Champion Embroidered Logo Sweatshirt White M</t>
  </si>
  <si>
    <t>194164930744</t>
  </si>
  <si>
    <t>E1EC2718</t>
  </si>
  <si>
    <t>DKNY Jeans Raw Hem Denim Skirt Medium Blue Wash M</t>
  </si>
  <si>
    <t>794278615799</t>
  </si>
  <si>
    <t>Morgan Company Trendy Plus Size Off-The-Shoul Cobalt 16W</t>
  </si>
  <si>
    <t>707762350106</t>
  </si>
  <si>
    <t>Riley Rae Smocked Bodice Dress Ultra White M</t>
  </si>
  <si>
    <t>195203524481</t>
  </si>
  <si>
    <t>Kasper Petite Split-Neck Blouse Willow PM</t>
  </si>
  <si>
    <t>93488808060</t>
  </si>
  <si>
    <t>Bar III Plus Size Floral-Print Tie-Nec Blue Shadow Multi 1X</t>
  </si>
  <si>
    <t>93488766506</t>
  </si>
  <si>
    <t>Calvin Klein Pants, Modern Tab-Front Trouse Heather Taupe 2P</t>
  </si>
  <si>
    <t>192351504303</t>
  </si>
  <si>
    <t>Calvin Klein Pants, Modern Tab-Front Trouse Heather Taupe 6P</t>
  </si>
  <si>
    <t>192351504280</t>
  </si>
  <si>
    <t>Calvin Klein Solid Padded-Shoulder Button-D Black M</t>
  </si>
  <si>
    <t>195046077977</t>
  </si>
  <si>
    <t>M1CA0699</t>
  </si>
  <si>
    <t>Calvin Klein Solid Tie-Sleeve V-Neck Poplin Black L</t>
  </si>
  <si>
    <t>195046342143</t>
  </si>
  <si>
    <t>M1DS6742</t>
  </si>
  <si>
    <t>Calvin Klein Mesh Logo Top Opal L</t>
  </si>
  <si>
    <t>195046073115</t>
  </si>
  <si>
    <t>Calvin Klein Mesh Logo Top Opal M</t>
  </si>
  <si>
    <t>195046073122</t>
  </si>
  <si>
    <t>COTTON/SPANDEX; LOGO: POLYESTER</t>
  </si>
  <si>
    <t>PF9X7659</t>
  </si>
  <si>
    <t>Calvin Klein Plus Size Camo Leggings Black Heather Combo 1X</t>
  </si>
  <si>
    <t>192351036972</t>
  </si>
  <si>
    <t>Kasper Sunset Waves Tank Top Valencia Multi 2X</t>
  </si>
  <si>
    <t>93488207283</t>
  </si>
  <si>
    <t>Calvin Klein Calvin Klein Plus Size Perform Charcoal 3X</t>
  </si>
  <si>
    <t>195046148196</t>
  </si>
  <si>
    <t>P0HA7GDR</t>
  </si>
  <si>
    <t>DKNY Printed Lace-Trim Top Russet New navy multi XS</t>
  </si>
  <si>
    <t>795728875312</t>
  </si>
  <si>
    <t>DKNY Printed Lace-Trim Top Russet New navy multi M</t>
  </si>
  <si>
    <t>795728875282</t>
  </si>
  <si>
    <t>CeCe Embroidered Collar Blouse Soft Ecru M</t>
  </si>
  <si>
    <t>720655634466</t>
  </si>
  <si>
    <t>Anne Klein Sunburst Peplum Top Siren Blue L</t>
  </si>
  <si>
    <t>93488294795</t>
  </si>
  <si>
    <t>T1BK2EZF</t>
  </si>
  <si>
    <t>Tommy Jeans Stars Stripes-Print Cropped Summer Blue 29</t>
  </si>
  <si>
    <t>195105789490</t>
  </si>
  <si>
    <t>CeCe Clip-Dot Off-The-Shoulder Blou Rich Black S</t>
  </si>
  <si>
    <t>193768702061</t>
  </si>
  <si>
    <t>DKNY Split-Waist Culottes Black 10</t>
  </si>
  <si>
    <t>795730360738</t>
  </si>
  <si>
    <t>P0EAEFXR</t>
  </si>
  <si>
    <t>DKNY Striped Split-Neck Peasant Top Hempivory L</t>
  </si>
  <si>
    <t>795730485127</t>
  </si>
  <si>
    <t>1.STATE Smocked-Neck Flutter-Sleeve Dr Bright Mulberry L</t>
  </si>
  <si>
    <t>195203250304</t>
  </si>
  <si>
    <t>GUESS Larisen Cotton Eyelet Peplum T Fade To Jade Multi L</t>
  </si>
  <si>
    <t>195124167491</t>
  </si>
  <si>
    <t>Kasper Tab-Waist Trouser Pants Black 10</t>
  </si>
  <si>
    <t>716357725281</t>
  </si>
  <si>
    <t>Kasper Tab-Waist Trouser Pants Black 8</t>
  </si>
  <si>
    <t>716357725373</t>
  </si>
  <si>
    <t>Kasper Crepe Sheath Dress Vanilla 14</t>
  </si>
  <si>
    <t>8875879172</t>
  </si>
  <si>
    <t>INC International Concepts Bow-Back Dot-Print Shift Dress PeriwinkleIvory S</t>
  </si>
  <si>
    <t>93488253686</t>
  </si>
  <si>
    <t>B1105ADBX</t>
  </si>
  <si>
    <t>Democracy Democracy Mid-Rise 30 Jegging In Indigo 10</t>
  </si>
  <si>
    <t>30121610314</t>
  </si>
  <si>
    <t>Anne Klein Plus Size Open-Front Cardigan Mondrian Yellow 1X</t>
  </si>
  <si>
    <t>93488372424</t>
  </si>
  <si>
    <t>Riley Rae Amanda Tropical-Print Dress Ruby Blush XS</t>
  </si>
  <si>
    <t>195203796734</t>
  </si>
  <si>
    <t>M0EK8242</t>
  </si>
  <si>
    <t>Calvin Klein Drawstring-Waist Wide-Leg Pant Latte M</t>
  </si>
  <si>
    <t>194414224173</t>
  </si>
  <si>
    <t>Calvin Klein Stretch Cotton Twill Pants Caper 8</t>
  </si>
  <si>
    <t>195046352302</t>
  </si>
  <si>
    <t>Calvin Klein Stretch Cotton Twill Pants Caper 10</t>
  </si>
  <si>
    <t>195046352296</t>
  </si>
  <si>
    <t>M1DA0645</t>
  </si>
  <si>
    <t>Calvin Klein Solid Button-Down Poplin Top White XL</t>
  </si>
  <si>
    <t>195046071753</t>
  </si>
  <si>
    <t>M0DAZ675</t>
  </si>
  <si>
    <t>Calvin Klein Printed Pleated Top Red Multi L</t>
  </si>
  <si>
    <t>194414306602</t>
  </si>
  <si>
    <t>Bar III Trendy Plus Size Belted Straig Terracotta 20W</t>
  </si>
  <si>
    <t>93488208822</t>
  </si>
  <si>
    <t>Kasper Tiered Gauze Pull-On Skirt White XXL</t>
  </si>
  <si>
    <t>93488748830</t>
  </si>
  <si>
    <t>Anne Klein Elbow-Sleeve Turtleneck Top Peacock Blueanne Black S</t>
  </si>
  <si>
    <t>93488596530</t>
  </si>
  <si>
    <t>DKNY Cropped Front Tab Pants Muslin 14</t>
  </si>
  <si>
    <t>795730489934</t>
  </si>
  <si>
    <t>CeCe Floral-Puff-Sleeve Dress Rich Black S</t>
  </si>
  <si>
    <t>195203646893</t>
  </si>
  <si>
    <t>Anne Klein Plus Size Bowie Straight-Leg P Siren Blue 16W</t>
  </si>
  <si>
    <t>93488330677</t>
  </si>
  <si>
    <t>Anne Klein Plus Size Bowie Straight-Leg P Siren Blue 18W</t>
  </si>
  <si>
    <t>93488330684</t>
  </si>
  <si>
    <t>1.STATE Cropped Faux-Fur Jacket Rich Black XL</t>
  </si>
  <si>
    <t>193768254447</t>
  </si>
  <si>
    <t>Kasper Plus Size Printed Midi Skirt Blackwhite 3X</t>
  </si>
  <si>
    <t>93488663300</t>
  </si>
  <si>
    <t>Kasper Petite Stretch Crepe Slim-Leg Wedgewood Blue 16P</t>
  </si>
  <si>
    <t>93488300250</t>
  </si>
  <si>
    <t>Kasper Plus Size Pencil Skirt Scarlet Red 14W</t>
  </si>
  <si>
    <t>93488374152</t>
  </si>
  <si>
    <t>6678M</t>
  </si>
  <si>
    <t>Taylor Layered-Look Sheath Dress CharcoalBlack S</t>
  </si>
  <si>
    <t>194686138109</t>
  </si>
  <si>
    <t>Anne Klein Valentina Printed Sheath Dress NavyCream 10</t>
  </si>
  <si>
    <t>93488420262</t>
  </si>
  <si>
    <t>T0JPL841</t>
  </si>
  <si>
    <t>Calvin Klein x Blush 4P</t>
  </si>
  <si>
    <t>195046447411</t>
  </si>
  <si>
    <t>T16PU968</t>
  </si>
  <si>
    <t>Calvin Klein French Terry Pants Black PXL</t>
  </si>
  <si>
    <t>193623038045</t>
  </si>
  <si>
    <t>Kasper Petite Textured Keyhole Dress Lily White 14P</t>
  </si>
  <si>
    <t>93488305965</t>
  </si>
  <si>
    <t>Kasper Plus Size Carly Trouser Pants Black 18W</t>
  </si>
  <si>
    <t>716357725489</t>
  </si>
  <si>
    <t>Kasper Plus Size Carly Trouser Pants Indigo 20W</t>
  </si>
  <si>
    <t>716357663316</t>
  </si>
  <si>
    <t>Kasper Plus Size Carly Trouser Pants Indigo 22W</t>
  </si>
  <si>
    <t>716357663323</t>
  </si>
  <si>
    <t>Kasper Plus Size Crepe Sheath Dress Vanilla 24W</t>
  </si>
  <si>
    <t>8875879295</t>
  </si>
  <si>
    <t>CeCe Smocked Pintuck Blouse Rich Black S</t>
  </si>
  <si>
    <t>193768453284</t>
  </si>
  <si>
    <t>MTWI3766</t>
  </si>
  <si>
    <t>NYDJ Solid Bermuda Shorts Optic White 14</t>
  </si>
  <si>
    <t>194477041304</t>
  </si>
  <si>
    <t>Tommy Hilfiger Plus Size Alton Cargo Pants Bright White 3X</t>
  </si>
  <si>
    <t>195105816677</t>
  </si>
  <si>
    <t>Calvin Klein Plus Size Cotton Twill Pants Cerise 16W</t>
  </si>
  <si>
    <t>195046367979</t>
  </si>
  <si>
    <t>Lauren Ralph Lauren Slim-Fit Turtleneck Mascarpone Cream XXL</t>
  </si>
  <si>
    <t>789022711681</t>
  </si>
  <si>
    <t>COTTON, POLYESTER, VISCOSE AND ELASTANE EXCLUSIVE OF DECORATION</t>
  </si>
  <si>
    <t>JESSICA SIMPSON/ONE JEANSWEAR D2C</t>
  </si>
  <si>
    <t>60514793-NS3</t>
  </si>
  <si>
    <t>Jessica Simpson Jessica Simpson Adored Hi Rise Black 26</t>
  </si>
  <si>
    <t>8865701094</t>
  </si>
  <si>
    <t>GUESS GUESS Off-The-Shoulder Crop To Dried Sage Multi L</t>
  </si>
  <si>
    <t>195124139467</t>
  </si>
  <si>
    <t>GUESS GUESS Off-The-Shoulder Crop To Dried Sage Multi M</t>
  </si>
  <si>
    <t>195124139450</t>
  </si>
  <si>
    <t>b new york Cotton Padded-Shoulder Tank To Microchip XS</t>
  </si>
  <si>
    <t>663309990368</t>
  </si>
  <si>
    <t>Tahari ASL Heather Bi-Stretch Ankle Pants Oyster Grey 6</t>
  </si>
  <si>
    <t>635273832050</t>
  </si>
  <si>
    <t>INC International Concepts Mosaic Floral Chiffon Dress Yellow Multi 14</t>
  </si>
  <si>
    <t>93488253938</t>
  </si>
  <si>
    <t>Bar III Plus Size Tailored Jogger Pant Pink Punch 3X</t>
  </si>
  <si>
    <t>93488673002</t>
  </si>
  <si>
    <t>M0FK8297</t>
  </si>
  <si>
    <t>Calvin Klein Tie-Belt Jogger Pants Black XL</t>
  </si>
  <si>
    <t>194414217656</t>
  </si>
  <si>
    <t>M1BK0239</t>
  </si>
  <si>
    <t>Calvin Klein Belted Pull-On Pants Latte S</t>
  </si>
  <si>
    <t>195046155088</t>
  </si>
  <si>
    <t>Calvin Klein Belted Wide-Leg Cropped Pants Soft White 12</t>
  </si>
  <si>
    <t>193623065812</t>
  </si>
  <si>
    <t>1.STATE Floral-Print High-Low Dress Leopard Muses XS</t>
  </si>
  <si>
    <t>195203536132</t>
  </si>
  <si>
    <t>P0HG8CBN</t>
  </si>
  <si>
    <t>DKNY Printed Pull-On Pleated Midi S Russet Multi XL</t>
  </si>
  <si>
    <t>795730091847</t>
  </si>
  <si>
    <t>DKNY DKNY Draped Dolman-Sleeve Hood Black XS</t>
  </si>
  <si>
    <t>795728848743</t>
  </si>
  <si>
    <t>P0FKEEUA</t>
  </si>
  <si>
    <t>DKNY Wide-Leg High-Rise Pants Spring Indigo XL</t>
  </si>
  <si>
    <t>795730488562</t>
  </si>
  <si>
    <t>Anne Klein Cropped Straight-Leg Pants Black Forest 6</t>
  </si>
  <si>
    <t>93487994207</t>
  </si>
  <si>
    <t>Anne Klein Plus Size Printed Split-Neck T Peacock BlueAnne Black 1X</t>
  </si>
  <si>
    <t>93488028376</t>
  </si>
  <si>
    <t>Kasper Cropped Wide-Leg Pants Pebble Beige 16</t>
  </si>
  <si>
    <t>93488222590</t>
  </si>
  <si>
    <t>Calvin Klein Calvin Klein Petite Cotton But Baby Blue 8P</t>
  </si>
  <si>
    <t>192351651793</t>
  </si>
  <si>
    <t>XE1PA532</t>
  </si>
  <si>
    <t>DKNY Petite Pull-On Ankle Pants Blue Fog Heather 12P</t>
  </si>
  <si>
    <t>794278491898</t>
  </si>
  <si>
    <t>DKNY Petite Pull-On Ankle Pants Blue Fog Heather 10P</t>
  </si>
  <si>
    <t>794278491942</t>
  </si>
  <si>
    <t>DKNY Petite Pull-On Ankle Pants Blue Fog Heather 14P</t>
  </si>
  <si>
    <t>794278491881</t>
  </si>
  <si>
    <t>J9GKX562</t>
  </si>
  <si>
    <t>Tommy Hilfiger Tommy Hilfiger Skinny Ponte-K Black 14</t>
  </si>
  <si>
    <t>192114213251</t>
  </si>
  <si>
    <t>2468M</t>
  </si>
  <si>
    <t>Taylor Polka Dot Striped-Hem Dress Navy Limoncello 12</t>
  </si>
  <si>
    <t>194686169806</t>
  </si>
  <si>
    <t>Taylor Polka Dot Striped-Hem Dress Navy Limoncello 4</t>
  </si>
  <si>
    <t>194686169769</t>
  </si>
  <si>
    <t>Calvin Klein Plus Size Slim-Fit Pants BLUE 24W</t>
  </si>
  <si>
    <t>195046447305</t>
  </si>
  <si>
    <t>Kasper Plus Size Tab-Waist Stretch-Cr Summer Straw Beige 22W</t>
  </si>
  <si>
    <t>93488318781</t>
  </si>
  <si>
    <t>Donna Ricco Portrait-Collar A-Line Dress Royal Blue 14</t>
  </si>
  <si>
    <t>889648425662</t>
  </si>
  <si>
    <t>CeCe 3D Polka Dot Sweater Antique White XS</t>
  </si>
  <si>
    <t>193768177753</t>
  </si>
  <si>
    <t>O1RA30FL03Q</t>
  </si>
  <si>
    <t>GUESS Zipper Hoodie Evening Navy XS</t>
  </si>
  <si>
    <t>7620207192556</t>
  </si>
  <si>
    <t>W0RR21R2SS0</t>
  </si>
  <si>
    <t>GUESS Luiza Drop-Shoulder Kimono Swe Medium Heather Grey L</t>
  </si>
  <si>
    <t>195124054555</t>
  </si>
  <si>
    <t>4XG8805</t>
  </si>
  <si>
    <t>B Darlin Trendy Plus Size 2-Pc. Maxi Dr Black 22W</t>
  </si>
  <si>
    <t>791841213161</t>
  </si>
  <si>
    <t>8 AV/MD/RG</t>
  </si>
  <si>
    <t>JJ37562</t>
  </si>
  <si>
    <t>julia jordan Striped High-Low Maxi Dress Blue Multi 8</t>
  </si>
  <si>
    <t>889648523436</t>
  </si>
  <si>
    <t>Anne Klein Peplum Blouse White 4</t>
  </si>
  <si>
    <t>93488665946</t>
  </si>
  <si>
    <t>SHELL: NYLON/VISCOSE; LACE DETAIL: POLYESTER</t>
  </si>
  <si>
    <t>Anne Klein Plus Size Lace Sleeve Top Anne White 2X</t>
  </si>
  <si>
    <t>93488664772</t>
  </si>
  <si>
    <t>SHELL: COTTON/SPANDEX; BELT: POLYURETHANE</t>
  </si>
  <si>
    <t>T9DBHA3A</t>
  </si>
  <si>
    <t>Tommy Hilfiger Belted Floral-Print Dress Scarlet Multi 10</t>
  </si>
  <si>
    <t>192114384999</t>
  </si>
  <si>
    <t>WL659549302</t>
  </si>
  <si>
    <t>Champion Reverse Weave Cropped Hoodie Hush Pink L</t>
  </si>
  <si>
    <t>194164723520</t>
  </si>
  <si>
    <t>W1GR05R2UJ0</t>
  </si>
  <si>
    <t>GUESS Tanya Jersey Knit Jogger Pants CREAM WHITE XS</t>
  </si>
  <si>
    <t>195124138194</t>
  </si>
  <si>
    <t>INC International Concepts Floral-Print Chiffon A-Line Dr Black Coastal Multi 6</t>
  </si>
  <si>
    <t>93488288381</t>
  </si>
  <si>
    <t>INC International Concepts Square-Neck Tie-Waist Jumpsuit Navy 16</t>
  </si>
  <si>
    <t>93488253204</t>
  </si>
  <si>
    <t>DKNY Pull-On Ankle Pants Blue Fog Heather 4</t>
  </si>
  <si>
    <t>603556561522</t>
  </si>
  <si>
    <t>UC0PS401</t>
  </si>
  <si>
    <t>DKNY Essex Pinstriped Ankle Pants Linen Whiteclassic Navy 6</t>
  </si>
  <si>
    <t>795730652567</t>
  </si>
  <si>
    <t>DKNY Pull-On Ankle Pants Blue Fog Heather 14</t>
  </si>
  <si>
    <t>603556561577</t>
  </si>
  <si>
    <t>INC International Concepts Chiffon Maxi Dress Periwinkle 16</t>
  </si>
  <si>
    <t>93488289098</t>
  </si>
  <si>
    <t>Kasper Plus Size Floral-Print Dress Mariner Blue Multi 3X</t>
  </si>
  <si>
    <t>93488695356</t>
  </si>
  <si>
    <t>INC International Concepts Floral Asymmetrical-Hem A-Line Black Hot Pink Multi 8</t>
  </si>
  <si>
    <t>93488252481</t>
  </si>
  <si>
    <t>INC International Concepts Ruffled Swiss-Dot Dress Navy 8</t>
  </si>
  <si>
    <t>93488288091</t>
  </si>
  <si>
    <t>INC International Concepts Mock Neck Wide-Leg Jumpsuit Periwinkle 4</t>
  </si>
  <si>
    <t>93488288725</t>
  </si>
  <si>
    <t>Anne Klein Button-Front Jacket Magritte Blue XS</t>
  </si>
  <si>
    <t>93488301981</t>
  </si>
  <si>
    <t>X13PL635</t>
  </si>
  <si>
    <t>Calvin Klein Plus Size Tie-Detail Pants Caper 22W</t>
  </si>
  <si>
    <t>195046064793</t>
  </si>
  <si>
    <t>Morgan Company Plus Size Mesh-Inset Gown Peacock 22W</t>
  </si>
  <si>
    <t>707762078918</t>
  </si>
  <si>
    <t>POLYESTER/RAYON/ELASTANE</t>
  </si>
  <si>
    <t>33RRM013</t>
  </si>
  <si>
    <t>Tahari ASL Straight-Leg Trousers Dark Grey 8</t>
  </si>
  <si>
    <t>191151004556</t>
  </si>
  <si>
    <t>62% ACRYLIC/27% POLYESTER/11% NYLON</t>
  </si>
  <si>
    <t>CeCe Bow-Detail Sweater Luminous Red XS</t>
  </si>
  <si>
    <t>195203195896</t>
  </si>
  <si>
    <t>Kasper Plus Size Square-Neck Sheath D Scarlet 16W</t>
  </si>
  <si>
    <t>93488345312</t>
  </si>
  <si>
    <t>Kasper Plus Size Textured Keyhole Dre Lily White 18W</t>
  </si>
  <si>
    <t>93488306054</t>
  </si>
  <si>
    <t>Calvin Klein Petite Jacket, Notched Collar Navy 8P</t>
  </si>
  <si>
    <t>885719331689</t>
  </si>
  <si>
    <t>Calvin Klein Petite Jacket, Notched Collar Navy 14P</t>
  </si>
  <si>
    <t>885719331658</t>
  </si>
  <si>
    <t>Anne Klein Striped Tank Dress Magritte Blue White S</t>
  </si>
  <si>
    <t>93488373506</t>
  </si>
  <si>
    <t>Anne Klein Drape-Front Peplum 34-Sleeve Nyc White XXL</t>
  </si>
  <si>
    <t>93488298502</t>
  </si>
  <si>
    <t>GUESS Long-Sleeve Camryn Ribbed Body Cream White XS</t>
  </si>
  <si>
    <t>195124199782</t>
  </si>
  <si>
    <t>GUESS Haley Ribbed Bodycon Dress Blue Yander L</t>
  </si>
  <si>
    <t>195124358448</t>
  </si>
  <si>
    <t>DKNY Skinny Ankle Pants Light Gray Heather 6</t>
  </si>
  <si>
    <t>802892580017</t>
  </si>
  <si>
    <t>Bar III Plus Size Sleeveless Wide-Leg Blue Shadow 2X</t>
  </si>
  <si>
    <t>93488796954</t>
  </si>
  <si>
    <t>2535M</t>
  </si>
  <si>
    <t>Taylor Smocked Mesh Dress Ivory Denim 2</t>
  </si>
  <si>
    <t>194686202244</t>
  </si>
  <si>
    <t>Kasper Petite Button-Detail Pants Black 4P</t>
  </si>
  <si>
    <t>93487909409</t>
  </si>
  <si>
    <t>Kasper Plus Size Pencil Skirt Black 18W</t>
  </si>
  <si>
    <t>716357747542</t>
  </si>
  <si>
    <t>716357747559</t>
  </si>
  <si>
    <t>Kasper Plus Size Pencil Skirt Black 22W</t>
  </si>
  <si>
    <t>716357747566</t>
  </si>
  <si>
    <t>Anne Klein Ribbed Turtleneck Sweater Coat Rouge M</t>
  </si>
  <si>
    <t>93488583189</t>
  </si>
  <si>
    <t>Kasper Plus Size Shawl-Collar Cuffed Wedgewood Blue 3X</t>
  </si>
  <si>
    <t>93488299127</t>
  </si>
  <si>
    <t>W0YA27R1UN2</t>
  </si>
  <si>
    <t>GUESS 1981 Flare Jeans Blue Ocean 26</t>
  </si>
  <si>
    <t>193327732973</t>
  </si>
  <si>
    <t>Anne Klein Plus Size Lily Printed Dress MAGRITTE BLUE COMBO 1X</t>
  </si>
  <si>
    <t>93488348726</t>
  </si>
  <si>
    <t>H07JZ849</t>
  </si>
  <si>
    <t>Tommy Hilfiger Plaid Single-Button Blazer Blue Multi 14</t>
  </si>
  <si>
    <t>195105907337</t>
  </si>
  <si>
    <t>T0CZ0IBG</t>
  </si>
  <si>
    <t>Tommy Jeans Denim Jumpsuit Medium Wash Denim L</t>
  </si>
  <si>
    <t>190607284634</t>
  </si>
  <si>
    <t>Tommy Jeans Denim Jumpsuit Medium Wash Denim S</t>
  </si>
  <si>
    <t>190607284658</t>
  </si>
  <si>
    <t>DKNY Handkerchief-Hem Shift Dress Spring Indigo M</t>
  </si>
  <si>
    <t>795730488883</t>
  </si>
  <si>
    <t>GUESS Jasia Printed Mini Dress Fac Tie Dye Zebra Print Blue L</t>
  </si>
  <si>
    <t>195124303981</t>
  </si>
  <si>
    <t>7G606189</t>
  </si>
  <si>
    <t>JEN7 Frayed Hem Shorts Azalea Pink 8</t>
  </si>
  <si>
    <t>190392937753</t>
  </si>
  <si>
    <t>Barbour Longstone Cotton Ruffled Top Mulberry 8</t>
  </si>
  <si>
    <t>194972313562</t>
  </si>
  <si>
    <t>VC1M2711</t>
  </si>
  <si>
    <t>Vince Camuto Lace Shift Dress Sky 4</t>
  </si>
  <si>
    <t>194592894717</t>
  </si>
  <si>
    <t>Anne Klein Plus Size Collared Jacket NYC White 2X</t>
  </si>
  <si>
    <t>93488329138</t>
  </si>
  <si>
    <t>Tommy Jeans White Logo Skinny Denim Overal Soft Rinse White 29</t>
  </si>
  <si>
    <t>195105761496</t>
  </si>
  <si>
    <t>Calvin Klein Plus Size Hooded Jacket Metallic Bare 2X</t>
  </si>
  <si>
    <t>195046953493</t>
  </si>
  <si>
    <t>COTTON/POLYESTER/LYCRA® SPANDEX</t>
  </si>
  <si>
    <t>L9516SJB376</t>
  </si>
  <si>
    <t>Silver Jeans Co. Suki Bootcut Jeans Indigo 29S</t>
  </si>
  <si>
    <t>827178759642</t>
  </si>
  <si>
    <t>GUESS Christin Printed Wrap Midi Dre 4G Aqua XS</t>
  </si>
  <si>
    <t>7620207190903</t>
  </si>
  <si>
    <t>Calvin Klein Plus Size, Fit Solutions, Zip- Black 14W</t>
  </si>
  <si>
    <t>700289944087</t>
  </si>
  <si>
    <t>Sam Edelman Cuffed Belted Utility Shorts Khaki 6</t>
  </si>
  <si>
    <t>193653395668</t>
  </si>
  <si>
    <t>Kasper Plus Size Fringed Jacquard Bla Black Multi 3X</t>
  </si>
  <si>
    <t>93488357117</t>
  </si>
  <si>
    <t>Kasper Plus Size Fringed Jacquard Bla Black Multi 1X</t>
  </si>
  <si>
    <t>93488357094</t>
  </si>
  <si>
    <t>NYDJ Sheri Straight-Leg Jeans Black 14</t>
  </si>
  <si>
    <t>889982762584</t>
  </si>
  <si>
    <t>NYDJ Barbara Tummy-Control Bootcut Black 6</t>
  </si>
  <si>
    <t>889982761365</t>
  </si>
  <si>
    <t>VC0M9564</t>
  </si>
  <si>
    <t>Vince Camuto Floral-Print Handkerchief-Hem Indigo Multi 16</t>
  </si>
  <si>
    <t>689886084726</t>
  </si>
  <si>
    <t>VC0M1710</t>
  </si>
  <si>
    <t>Vince Camuto Bow-Neck Midi Dress Pomegranate 4</t>
  </si>
  <si>
    <t>689886012637</t>
  </si>
  <si>
    <t>Vince Camuto Eyelet Fit Flare Dress Ivory 10</t>
  </si>
  <si>
    <t>689886082661</t>
  </si>
  <si>
    <t>From Grayscale Keyhole Jumpsuit Lime Green M</t>
  </si>
  <si>
    <t>850029373230</t>
  </si>
  <si>
    <t>Le Suit Striped Two-Button Pantsuit SandBlack 10</t>
  </si>
  <si>
    <t>93487320532</t>
  </si>
  <si>
    <t>Kasper Petite Open-Front Windowpane-P Oyster White Multi PM</t>
  </si>
  <si>
    <t>93488357216</t>
  </si>
  <si>
    <t>Kasper Plus Size Open-Front Topper Ja Black 24W</t>
  </si>
  <si>
    <t>716357382316</t>
  </si>
  <si>
    <t>TLMS9WR041</t>
  </si>
  <si>
    <t>Tahari ASL Sleeveless Crepe Wide-Leg Jump Black 14</t>
  </si>
  <si>
    <t>635273555799</t>
  </si>
  <si>
    <t>W3014EYA</t>
  </si>
  <si>
    <t>DKNY Zippered Peplum Blazer BlackWhite 2</t>
  </si>
  <si>
    <t>802892122347</t>
  </si>
  <si>
    <t>T99J1534</t>
  </si>
  <si>
    <t>Calvin Klein Petite Long Velvet Blazer Red 14P</t>
  </si>
  <si>
    <t>193623134846</t>
  </si>
  <si>
    <t>X16JL165</t>
  </si>
  <si>
    <t>Calvin Klein Plus Size Open-Front Topper Ja Luggage 20W</t>
  </si>
  <si>
    <t>193623037512</t>
  </si>
  <si>
    <t>From Grayscale Shimmer Cropped Vest Silver XL</t>
  </si>
  <si>
    <t>850029373650</t>
  </si>
  <si>
    <t>Kasper Plus Size Stand-Collar Jacket Sapphire Blue 16W</t>
  </si>
  <si>
    <t>93487974728</t>
  </si>
  <si>
    <t>TSMU1WJ449</t>
  </si>
  <si>
    <t>Tahari ASL Belted Asymmetrical Blazer Cantaloupe 6</t>
  </si>
  <si>
    <t>663309995769</t>
  </si>
  <si>
    <t>Calvin Klein Plus Size Collarless Blazer White 20W</t>
  </si>
  <si>
    <t>194414395187</t>
  </si>
  <si>
    <t>67% COTTON/26% POLYESTER/5% VISCOSE/2% ELASTANE</t>
  </si>
  <si>
    <t>MHYT2992</t>
  </si>
  <si>
    <t>NYDJ Slim-Fit Bootcut Jeans Reverence 12</t>
  </si>
  <si>
    <t>194477120252</t>
  </si>
  <si>
    <t>W1GK19D3ZT7</t>
  </si>
  <si>
    <t>GUESS Uma Denim Bodycon Dress Poipu S</t>
  </si>
  <si>
    <t>7618483456653</t>
  </si>
  <si>
    <t>COTTON/ELASTERELL-P/SPANDEX</t>
  </si>
  <si>
    <t>GS0693912B</t>
  </si>
  <si>
    <t>JEN7 Raw-Hem Skinny Ankle Jeans Canyon Coast 0</t>
  </si>
  <si>
    <t>190392778332</t>
  </si>
  <si>
    <t>JJMF0KD634</t>
  </si>
  <si>
    <t>b new york Conscious Draped Dress Canteen S</t>
  </si>
  <si>
    <t>663309881154</t>
  </si>
  <si>
    <t>AP1D104085</t>
  </si>
  <si>
    <t>Adrianna Papell Lacy Jersey Pintuck Dress Black 6</t>
  </si>
  <si>
    <t>652933066228</t>
  </si>
  <si>
    <t>Weekend Max Mara Carpazi Plaid Fringed Scarf Beige ONE SIZE</t>
  </si>
  <si>
    <t>8056725314795</t>
  </si>
  <si>
    <t>50% POLYESTER/38% COTTON/12% VISCOSE</t>
  </si>
  <si>
    <t>Splendid Sun-Wash Jogger Pants Pink L</t>
  </si>
  <si>
    <t>193666481235</t>
  </si>
  <si>
    <t>Barbour Newbury Dress Multi 4</t>
  </si>
  <si>
    <t>194972201685</t>
  </si>
  <si>
    <t>LTR0281WH51</t>
  </si>
  <si>
    <t>Barbour Summer Cabin Cropped Wide-Leg Ecru 8</t>
  </si>
  <si>
    <t>194972226244</t>
  </si>
  <si>
    <t>SQUARE 42</t>
  </si>
  <si>
    <t>EF2725</t>
  </si>
  <si>
    <t>Lacoste Script Logo T-Shirt Dress Amaryllis 10</t>
  </si>
  <si>
    <t>194951892903</t>
  </si>
  <si>
    <t>7U704495</t>
  </si>
  <si>
    <t>7 For All Mankind Monroe Cutoff Jean Shorts Mineral Marigold 32</t>
  </si>
  <si>
    <t>190392925439</t>
  </si>
  <si>
    <t>S21-TO108</t>
  </si>
  <si>
    <t>Alala Rise Cropped Ribbed Sweatshirt Buttercup M</t>
  </si>
  <si>
    <t>843263132893</t>
  </si>
  <si>
    <t>Tahari ASL Peplum Zip-Jacket Dress Suit Dusty Mauve 12</t>
  </si>
  <si>
    <t>663309916726</t>
  </si>
  <si>
    <t>7 For All Mankind Kimmie Jeans Blue Black River Thames 31</t>
  </si>
  <si>
    <t>886992911131</t>
  </si>
  <si>
    <t>63% ORGANIC COTTON/28% POLYESTER/9% POLYURETHANE</t>
  </si>
  <si>
    <t>S1OKB-P4564M</t>
  </si>
  <si>
    <t>Eileen Fisher Tapered Capri Pants Seaweed 2X</t>
  </si>
  <si>
    <t>193481654586</t>
  </si>
  <si>
    <t>Dauntless Cotton Zelda Culottes White M</t>
  </si>
  <si>
    <t>850027946252</t>
  </si>
  <si>
    <t>Eileen Fisher Anne Klein Barbour Coast PL</t>
  </si>
  <si>
    <t>193481732437</t>
  </si>
  <si>
    <t>ITALIAN YARN OF 100% ORGANIC LINEN</t>
  </si>
  <si>
    <t>S1OEJ-W5873M</t>
  </si>
  <si>
    <t>Eileen Fisher Organic Linen Sweater Khaki M</t>
  </si>
  <si>
    <t>193481610773</t>
  </si>
  <si>
    <t>Weekend Max Mara Weekend Max Mara Mixed-Media P Blu Azzurro XL</t>
  </si>
  <si>
    <t>8051312366218</t>
  </si>
  <si>
    <t>Weekend Max Mara Ennio Embellished Cable-Knit S Dark Green XL</t>
  </si>
  <si>
    <t>8056725623132</t>
  </si>
  <si>
    <t>Tommy Hilfiger Womens Striped Logo Shorts Fuchsia Pink L</t>
  </si>
  <si>
    <t>195105778937</t>
  </si>
  <si>
    <t>J0DHN392</t>
  </si>
  <si>
    <t>Tommy Hilfiger Striped Sleeveless Polo Porcelain MULTI XS</t>
  </si>
  <si>
    <t>190607280728</t>
  </si>
  <si>
    <t>O02A27MC01P</t>
  </si>
  <si>
    <t>BIKE SHORT</t>
  </si>
  <si>
    <t>7618584805855</t>
  </si>
  <si>
    <t>1.STATE One-Shoulder Top Camel Heather M</t>
  </si>
  <si>
    <t>195203319803</t>
  </si>
  <si>
    <t>Riley Rae Puff-Sleeve Dress Preppy Navy L</t>
  </si>
  <si>
    <t>195203515779</t>
  </si>
  <si>
    <t>Seven7 Utility Shorts Lotus 10</t>
  </si>
  <si>
    <t>194278194896</t>
  </si>
  <si>
    <t>H11TH18A</t>
  </si>
  <si>
    <t>Tommy Hilfiger Ruffled Top Ballerina Pink XL</t>
  </si>
  <si>
    <t>195105735855</t>
  </si>
  <si>
    <t>Riley Rae Patrice Pants Soft Ecru M</t>
  </si>
  <si>
    <t>195203525181</t>
  </si>
  <si>
    <t>PF1X6336</t>
  </si>
  <si>
    <t>Calvin Klein Plus Size Logo-Print Leggings Bold Blue Foil 1X</t>
  </si>
  <si>
    <t>195046510030</t>
  </si>
  <si>
    <t>E11HFHLH</t>
  </si>
  <si>
    <t>DKNY Jeans DKNY Jeans Bead-Trim Logo Swea Marigold S</t>
  </si>
  <si>
    <t>794278848036</t>
  </si>
  <si>
    <t>Riley Rae Smocked Jumpsuit Aegean Sea XL</t>
  </si>
  <si>
    <t>195203630489</t>
  </si>
  <si>
    <t>Calvin Klein Solid Tie-Sleeve V-Neck Poplin Black S</t>
  </si>
  <si>
    <t>195046342167</t>
  </si>
  <si>
    <t>M1DAJ613</t>
  </si>
  <si>
    <t>Calvin Klein Paisley-Print Challis Top Grey Multi S</t>
  </si>
  <si>
    <t>195046072330</t>
  </si>
  <si>
    <t>J0BBC421</t>
  </si>
  <si>
    <t>Tommy Hilfiger Cotton Chambray Shirtdress Chambray Blue 14</t>
  </si>
  <si>
    <t>190607429301</t>
  </si>
  <si>
    <t>GUESS Camille V-Neck Cardigan Fade To Jade XS</t>
  </si>
  <si>
    <t>195124139030</t>
  </si>
  <si>
    <t>NYDJ Solid Bermuda Shorts Optic White 6</t>
  </si>
  <si>
    <t>194477041267</t>
  </si>
  <si>
    <t>Tahari ASL Heather Bi-Stretch Ankle Pants Oyster Grey 4</t>
  </si>
  <si>
    <t>635273832043</t>
  </si>
  <si>
    <t>CeCe Blustery Buds Smocked A-Line D Rich Black 8</t>
  </si>
  <si>
    <t>193768641643</t>
  </si>
  <si>
    <t>Kasper Sleeveless Crepe Dress Lily White 6</t>
  </si>
  <si>
    <t>93487806869</t>
  </si>
  <si>
    <t>GUESS Aidy Colorblocked Pants Classic Ink Multi XS</t>
  </si>
  <si>
    <t>193327714856</t>
  </si>
  <si>
    <t>W0RK51R2BF3</t>
  </si>
  <si>
    <t>GUESS Everly Wrap Sweater Dress Jet Black M</t>
  </si>
  <si>
    <t>195124050212</t>
  </si>
  <si>
    <t>Anne Klein Stand-Collar Shirtdress White XS</t>
  </si>
  <si>
    <t>93488187776</t>
  </si>
  <si>
    <t>W4899G550250</t>
  </si>
  <si>
    <t>Champion Phys Ed Logo T-Shirt Grey M</t>
  </si>
  <si>
    <t>192503599317</t>
  </si>
  <si>
    <t>COTTON/MODAL/SPANDEX</t>
  </si>
  <si>
    <t>W7FP51R49A2</t>
  </si>
  <si>
    <t>GUESS Elyza Cutaway-Shoulder Top White L</t>
  </si>
  <si>
    <t>191821244350</t>
  </si>
  <si>
    <t>819B094</t>
  </si>
  <si>
    <t>Royalty by Maluma Handkerchief Tank, Created for Black M</t>
  </si>
  <si>
    <t>190917334166</t>
  </si>
  <si>
    <t>Tommy Hilfiger Slim-Fit Logo T-Shirt White XL</t>
  </si>
  <si>
    <t>195105778142</t>
  </si>
  <si>
    <t>Tommy Hilfiger Striped Sleeveless Polo Scarlet Multi M</t>
  </si>
  <si>
    <t>190607280698</t>
  </si>
  <si>
    <t>Tommy Hilfiger Slim-Fit Logo T-Shirt Deep Blue XL</t>
  </si>
  <si>
    <t>195105828694</t>
  </si>
  <si>
    <t>Riley Rae Drawstring Shorts Preppy Navy XL</t>
  </si>
  <si>
    <t>195203684888</t>
  </si>
  <si>
    <t>Gloria Vanderbilt Gloria Vanderbilt Womens Aman Isla 8</t>
  </si>
  <si>
    <t>8868769855</t>
  </si>
  <si>
    <t>Riley Rae Loretta Striped Sweater Heritage Blue XL</t>
  </si>
  <si>
    <t>195203395838</t>
  </si>
  <si>
    <t>Gloria Vanderbilt Gloria Vanderbilt Womens Aman Vanilla Cream 14</t>
  </si>
  <si>
    <t>8868769688</t>
  </si>
  <si>
    <t>Tommy Jeans Cotton Tie-Dyed Shorts Pink Multi XL</t>
  </si>
  <si>
    <t>190607206520</t>
  </si>
  <si>
    <t>P0FH8EJM</t>
  </si>
  <si>
    <t>DKNY Sleeveless Sequin Top Military Green XL</t>
  </si>
  <si>
    <t>795730480115</t>
  </si>
  <si>
    <t>P02BSCNA</t>
  </si>
  <si>
    <t>DKNY DKNY Sequined Logo T-Shirt Black S</t>
  </si>
  <si>
    <t>795730534832</t>
  </si>
  <si>
    <t>DKNY Sequined Jersey T-Shirt White XL</t>
  </si>
  <si>
    <t>802892073540</t>
  </si>
  <si>
    <t>Riley Rae Reese Slim-Leg Pants Coffee Bean 2</t>
  </si>
  <si>
    <t>195203160146</t>
  </si>
  <si>
    <t>Riley Rae Vera Cropped Pants Geranium Red 4</t>
  </si>
  <si>
    <t>195203398297</t>
  </si>
  <si>
    <t>PL500289</t>
  </si>
  <si>
    <t>Monteau Plus Size Smocked-Waist Dress Mauve 1X</t>
  </si>
  <si>
    <t>884630185340</t>
  </si>
  <si>
    <t>Riley Rae Vera Cropped Pants Geranium Red 10</t>
  </si>
  <si>
    <t>195203398327</t>
  </si>
  <si>
    <t>GUESS Avril Tank Top Blue Graphite Grey XS</t>
  </si>
  <si>
    <t>7618483940916</t>
  </si>
  <si>
    <t>Riley Rae Puff-Sleeve Dress Preppy Navy XS</t>
  </si>
  <si>
    <t>195203515748</t>
  </si>
  <si>
    <t>W0AH0736</t>
  </si>
  <si>
    <t>Tommy Hilfiger Plus Size Cotton Grommet-Trim Medium Red 2X</t>
  </si>
  <si>
    <t>190607429691</t>
  </si>
  <si>
    <t>Calvin Klein Petite Printed V-Neck Blouse Blue Multi PS</t>
  </si>
  <si>
    <t>194414526543</t>
  </si>
  <si>
    <t>Tommy Hilfiger Womens Cropped Logo Jogger Pa Deep Blue XL</t>
  </si>
  <si>
    <t>195105777756</t>
  </si>
  <si>
    <t>J0DH0841</t>
  </si>
  <si>
    <t>Tommy Hilfiger Snap-Front Camp Shirt Sky Captain M</t>
  </si>
  <si>
    <t>190607279357</t>
  </si>
  <si>
    <t>VISCOSE/POLYESTER/NYLON/ELASTANE</t>
  </si>
  <si>
    <t>BAND OF GYPSIES/AMERICHINE LLC</t>
  </si>
  <si>
    <t>K232K20216</t>
  </si>
  <si>
    <t>Band of Gypsies Pardon Puff-Sleeve Top Black M</t>
  </si>
  <si>
    <t>194443005002</t>
  </si>
  <si>
    <t>T9EM6178</t>
  </si>
  <si>
    <t>Tommy Hilfiger Pintuck Pleated Floral-Print T Orchidea Border- Ivory Multi M</t>
  </si>
  <si>
    <t>192114334574</t>
  </si>
  <si>
    <t>M0IH6854</t>
  </si>
  <si>
    <t>Calvin Klein Calvin Klein Printed Hardware Malachite Multi XL</t>
  </si>
  <si>
    <t>195046668496</t>
  </si>
  <si>
    <t>Kasper Floral-Print Pleated Sleeveles Spring Green Multi S</t>
  </si>
  <si>
    <t>93488044383</t>
  </si>
  <si>
    <t>J2001SD</t>
  </si>
  <si>
    <t>Dickies Rolled Denim Shortalls Navy White S</t>
  </si>
  <si>
    <t>792831295518</t>
  </si>
  <si>
    <t>Tommy Jeans High-Rise Skinny Jeans Elliot 28</t>
  </si>
  <si>
    <t>190607355440</t>
  </si>
  <si>
    <t>7161RF4PD1</t>
  </si>
  <si>
    <t>City Studios Trendy Plus Size Cross-Back Sh Red 18W</t>
  </si>
  <si>
    <t>708008673775</t>
  </si>
  <si>
    <t>BAM113</t>
  </si>
  <si>
    <t>BAM by Betsy Adam Cropped Open-Back Tank Top A Black L</t>
  </si>
  <si>
    <t>195170034112</t>
  </si>
  <si>
    <t>P0HSTOU9</t>
  </si>
  <si>
    <t>DKNY Colorblocked Turtleneck Top New Navyrusset XL</t>
  </si>
  <si>
    <t>795728996352</t>
  </si>
  <si>
    <t>P0HHPGUT</t>
  </si>
  <si>
    <t>DKNY Twist-Front Mesh Top New Navyrusset XS</t>
  </si>
  <si>
    <t>795730068740</t>
  </si>
  <si>
    <t>Tommy Hilfiger Long-Sleeve Woven Tunic Ivory Multi M</t>
  </si>
  <si>
    <t>195105642894</t>
  </si>
  <si>
    <t>Tommy Hilfiger Ruffled Halter Top Scarlet Multi - Floral M</t>
  </si>
  <si>
    <t>190607278107</t>
  </si>
  <si>
    <t>COTTON/POLYESTER; LINING: POLYESTER FLEECE</t>
  </si>
  <si>
    <t>J1BE0216</t>
  </si>
  <si>
    <t>Tommy Hilfiger French Terry Hoodie Bright White XS</t>
  </si>
  <si>
    <t>195105797624</t>
  </si>
  <si>
    <t>Tommy Hilfiger Striped-Trim Split-Seam Skinny Ws 268- White Soft Rinse 10</t>
  </si>
  <si>
    <t>190607278688</t>
  </si>
  <si>
    <t>81215313J8</t>
  </si>
  <si>
    <t>1.STATE Floral-Print Peplum Top Ditsy Floral L</t>
  </si>
  <si>
    <t>195203686493</t>
  </si>
  <si>
    <t>1.STATE Floral-Print Peplum Top Ditsy Floral XXS</t>
  </si>
  <si>
    <t>195203686455</t>
  </si>
  <si>
    <t>1.STATE Floral-Print Peplum Top Ditsy Floral XL</t>
  </si>
  <si>
    <t>195203686509</t>
  </si>
  <si>
    <t>74% POLYESTER/23% RAYON/3% SPANDEX; COMBO: POLYESTER</t>
  </si>
  <si>
    <t>1.STATE Drawstring Jogger Pants Silver Heather L</t>
  </si>
  <si>
    <t>195203169378</t>
  </si>
  <si>
    <t>Calvin Klein Plus Size Textured Cotton Top Soft White 1X</t>
  </si>
  <si>
    <t>195046061136</t>
  </si>
  <si>
    <t>Kasper Crepe Knee-Length Skirt Black 18</t>
  </si>
  <si>
    <t>8875824417</t>
  </si>
  <si>
    <t>1119P504</t>
  </si>
  <si>
    <t>Royalty by Maluma Patent Faux-Leather Leggings Black XL</t>
  </si>
  <si>
    <t>190917342406</t>
  </si>
  <si>
    <t>Calvin Klein Plus Size Jogging Pants Charcoal 3X</t>
  </si>
  <si>
    <t>195841952363</t>
  </si>
  <si>
    <t>P0RK7HKQ</t>
  </si>
  <si>
    <t>DKNY DKNY Skinny Jeans Ivory 8</t>
  </si>
  <si>
    <t>794278976647</t>
  </si>
  <si>
    <t>P0DHSFGG</t>
  </si>
  <si>
    <t>DKNY Mixed-Media Sequined Logo Top Black M</t>
  </si>
  <si>
    <t>795730552348</t>
  </si>
  <si>
    <t>P1BA7I64</t>
  </si>
  <si>
    <t>DKNY Printed Drawstring-Waist V-Nec BLACK IVORY XL</t>
  </si>
  <si>
    <t>794278926574</t>
  </si>
  <si>
    <t>DKNY Mixed-Media Sequined Logo Top Black L</t>
  </si>
  <si>
    <t>795730552164</t>
  </si>
  <si>
    <t>H06PZ424</t>
  </si>
  <si>
    <t>Tommy Hilfiger Slim Ankle Pants Multi 12</t>
  </si>
  <si>
    <t>195105827949</t>
  </si>
  <si>
    <t>J0DD6217</t>
  </si>
  <si>
    <t>Tommy Hilfiger Striped-Trim Sleeveless Dress Denim L</t>
  </si>
  <si>
    <t>190607272105</t>
  </si>
  <si>
    <t>BAM by Betsy Adam High-Rise Skinny Ankle Legging Black M</t>
  </si>
  <si>
    <t>195170034204</t>
  </si>
  <si>
    <t>J0DDD217</t>
  </si>
  <si>
    <t>Tommy Hilfiger Striped Sleeveless Dress Americana Stripe M</t>
  </si>
  <si>
    <t>190607282715</t>
  </si>
  <si>
    <t>Calvin Klein Plus Size Crinkled Cotton Butt Opal 2X</t>
  </si>
  <si>
    <t>195046061365</t>
  </si>
  <si>
    <t>W9VKX255</t>
  </si>
  <si>
    <t>Calvin Klein Plus Size Mid Rise Ponte Pants Black 14W</t>
  </si>
  <si>
    <t>195046622016</t>
  </si>
  <si>
    <t>GUESS GUESS Ribbed Short-Sleeve Swea Ice Aqua XS</t>
  </si>
  <si>
    <t>7620207177355</t>
  </si>
  <si>
    <t>GUESS Larisen Cotton Eyelet Peplum T Lichen Leaf Green Multi XL</t>
  </si>
  <si>
    <t>195124167422</t>
  </si>
  <si>
    <t>GUESS Larisen Cotton Eyelet Peplum T Lichen Leaf Green Multi L</t>
  </si>
  <si>
    <t>195124167453</t>
  </si>
  <si>
    <t>Anne Klein Plus Size Dot-Print Split-Neck Anne BlackAnne White 2X</t>
  </si>
  <si>
    <t>93488412045</t>
  </si>
  <si>
    <t>Kasper Straight-Leg Crepe Pants Vanilla Ice 12</t>
  </si>
  <si>
    <t>782417965768</t>
  </si>
  <si>
    <t>Anne Klein Plus Size Printed Pleat-Neck 3 Lt Astorblack 1X</t>
  </si>
  <si>
    <t>93488685173</t>
  </si>
  <si>
    <t>Kasper Crew-Neck Sheath Dress Black 16</t>
  </si>
  <si>
    <t>716357726738</t>
  </si>
  <si>
    <t>E0RK1600</t>
  </si>
  <si>
    <t>DKNY Jeans Skinny Jeans Rinse Black 28</t>
  </si>
  <si>
    <t>795730960488</t>
  </si>
  <si>
    <t>M4912</t>
  </si>
  <si>
    <t>Champion Varsity-Stripe Ankle Pants Black XS</t>
  </si>
  <si>
    <t>192503592097</t>
  </si>
  <si>
    <t>Champion Varsity-Stripe Ankle Pants Oxford Grey XS</t>
  </si>
  <si>
    <t>192503592653</t>
  </si>
  <si>
    <t>Champion Varsity-Stripe Ankle Pants Black S</t>
  </si>
  <si>
    <t>192503592608</t>
  </si>
  <si>
    <t>Bar III Plus Size Tie-Neck Blouse Lily White 1X</t>
  </si>
  <si>
    <t>93487761892</t>
  </si>
  <si>
    <t>TSMS1WT283</t>
  </si>
  <si>
    <t>Tahari ASL Tie-Hem Blouse Ivory L</t>
  </si>
  <si>
    <t>663309977123</t>
  </si>
  <si>
    <t>J7SK0035</t>
  </si>
  <si>
    <t>Tommy Hilfiger Rolled-Hem Straight-Leg Chino Olive Night 4</t>
  </si>
  <si>
    <t>190607884681</t>
  </si>
  <si>
    <t>Kasper Slim-Leg Pencil Pants Blackivory 14</t>
  </si>
  <si>
    <t>93488301011</t>
  </si>
  <si>
    <t>Kasper Houndstooth-Print Pencil Skirt Black Multi 14</t>
  </si>
  <si>
    <t>93488532941</t>
  </si>
  <si>
    <t>Calvin Klein x Blush 10P</t>
  </si>
  <si>
    <t>195046447381</t>
  </si>
  <si>
    <t>Kasper Plus Size Crepe Sheath Dress Vanilla 22W</t>
  </si>
  <si>
    <t>8875879288</t>
  </si>
  <si>
    <t>CeCe Mixed-Media Bow Sweater Rich Black M</t>
  </si>
  <si>
    <t>193768925163</t>
  </si>
  <si>
    <t>W1AKH204</t>
  </si>
  <si>
    <t>Calvin Klein Plus Size Belted Cropped Pants Black 18W</t>
  </si>
  <si>
    <t>195046228232</t>
  </si>
  <si>
    <t>W1GH26RBMS2</t>
  </si>
  <si>
    <t>GUESS Yessica Off-The-Shoulder Blous Black XS</t>
  </si>
  <si>
    <t>195124137180</t>
  </si>
  <si>
    <t>W4367550243</t>
  </si>
  <si>
    <t>Champion Heritage Cotton Mixed-Texture Black S</t>
  </si>
  <si>
    <t>192503610050</t>
  </si>
  <si>
    <t>Champion Heritage Cotton Mixed-Texture Black M</t>
  </si>
  <si>
    <t>192503610067</t>
  </si>
  <si>
    <t>M0ENZ336</t>
  </si>
  <si>
    <t>Calvin Klein Tie-Dyed Pleated Skirt WhiteHibiscus M</t>
  </si>
  <si>
    <t>194414225613</t>
  </si>
  <si>
    <t>ML819J</t>
  </si>
  <si>
    <t>Champion Tricot Logo-Stripe Track Pants Black XS</t>
  </si>
  <si>
    <t>192503686819</t>
  </si>
  <si>
    <t>Champion Tricot Logo-Stripe Track Pants Black XL</t>
  </si>
  <si>
    <t>192503686857</t>
  </si>
  <si>
    <t>Anne Klein Plus Size Straight-Leg Pants Black 18W</t>
  </si>
  <si>
    <t>782418520607</t>
  </si>
  <si>
    <t>Anne Klein Cropped Straight-Leg Pants Black Forest 8</t>
  </si>
  <si>
    <t>93487994214</t>
  </si>
  <si>
    <t>Calvin Klein Trendy Plus Size Pull-On Pants Navy 22W</t>
  </si>
  <si>
    <t>194414367092</t>
  </si>
  <si>
    <t>Vince Camuto Plus Size Straight-Leg Pants Rich Black 20W</t>
  </si>
  <si>
    <t>39373013331</t>
  </si>
  <si>
    <t>Anne Klein Plus Size Bowie Tab-Waist Pant Anne White 18W</t>
  </si>
  <si>
    <t>93488150015</t>
  </si>
  <si>
    <t>ML777P</t>
  </si>
  <si>
    <t>Champion Reverse Weave Logo-Print Jogge Big Block Text Outline Black M</t>
  </si>
  <si>
    <t>192503659806</t>
  </si>
  <si>
    <t>E1YJ01LY00K</t>
  </si>
  <si>
    <t>GUESS Cut-Out One-Piece Swimsuit Star Sand Stripe Sprint XS</t>
  </si>
  <si>
    <t>7620207260163</t>
  </si>
  <si>
    <t>Kasper Crossover Cutout Top Mink Multi XS</t>
  </si>
  <si>
    <t>93487516997</t>
  </si>
  <si>
    <t>SHELL, MESH: POLYESTER/SPANDEX; LINING: POLYESTER</t>
  </si>
  <si>
    <t>21434WM</t>
  </si>
  <si>
    <t>Morgan Company Trendy Plus Size Sequined-Bodi Merlot 14W</t>
  </si>
  <si>
    <t>714455228451</t>
  </si>
  <si>
    <t>Morgan Company Trendy Plus Size Lace-Bodice G MerlotNude 14W</t>
  </si>
  <si>
    <t>707762035324</t>
  </si>
  <si>
    <t>S0VFF-U4217M</t>
  </si>
  <si>
    <t>Eileen Fisher Eileen Fisher Crewneck Tank To Bramble M</t>
  </si>
  <si>
    <t>193481274043</t>
  </si>
  <si>
    <t>W0YD0MD4401</t>
  </si>
  <si>
    <t>GUESS Cropped Wide-Leg Jeans Happy Red 27</t>
  </si>
  <si>
    <t>193327734113</t>
  </si>
  <si>
    <t>MAERPA2405</t>
  </si>
  <si>
    <t>NYDJ Tummy-Control Pull-On Skinny J Mabel 0</t>
  </si>
  <si>
    <t>889982760542</t>
  </si>
  <si>
    <t>GUESS Zuma Drawstring Cargo Pants Natural XL</t>
  </si>
  <si>
    <t>195124296542</t>
  </si>
  <si>
    <t>Kasper Plus Size Pencil Skirt Black 24W</t>
  </si>
  <si>
    <t>716357747573</t>
  </si>
  <si>
    <t>Anne Klein Belted Midi Skirt White 4</t>
  </si>
  <si>
    <t>93488238393</t>
  </si>
  <si>
    <t>CeCe Off-The-Shoulder Shirred Dress Rich Black L</t>
  </si>
  <si>
    <t>39376863230</t>
  </si>
  <si>
    <t>Anne Klein Plus Size Striped Trapeze Dres Siren BlueRed Pear 2X</t>
  </si>
  <si>
    <t>93488342021</t>
  </si>
  <si>
    <t>French Connection Paze Ribbed Bodycon Dress Wild Rosa 6</t>
  </si>
  <si>
    <t>192942913187</t>
  </si>
  <si>
    <t>DKNY Belted Vest Denim Blue 8</t>
  </si>
  <si>
    <t>794278452578</t>
  </si>
  <si>
    <t>P1BZV486</t>
  </si>
  <si>
    <t>DKNY Floral-Print Jumpsuit BLACK IVORY 4</t>
  </si>
  <si>
    <t>794278926826</t>
  </si>
  <si>
    <t>EEVFF-T4192M</t>
  </si>
  <si>
    <t>Eileen Fisher Short-Sleeve T-Shirt White XL</t>
  </si>
  <si>
    <t>190428817547</t>
  </si>
  <si>
    <t>M1ABZ978</t>
  </si>
  <si>
    <t>Calvin Klein Floral-Print Ruffled Dress BlackEmber M</t>
  </si>
  <si>
    <t>195046387458</t>
  </si>
  <si>
    <t>Anne Klein Plus Size Trapeze Dress Anne Black 2X</t>
  </si>
  <si>
    <t>93488187820</t>
  </si>
  <si>
    <t>NYLON/RAYON; LINING: POLYESTER; EXCLUSIVE OF DECORATION</t>
  </si>
  <si>
    <t>1529M</t>
  </si>
  <si>
    <t>Taylor Lace A-Line Dress BlackNude 6</t>
  </si>
  <si>
    <t>755179349541</t>
  </si>
  <si>
    <t>X13JL165</t>
  </si>
  <si>
    <t>Calvin Klein Plus Size Open-Front Topper Ja Caper 18W</t>
  </si>
  <si>
    <t>195046064878</t>
  </si>
  <si>
    <t>MCRDMS2656</t>
  </si>
  <si>
    <t>NYDJ Marilyn Double-Snap Straight-L Black 18</t>
  </si>
  <si>
    <t>889982911944</t>
  </si>
  <si>
    <t>VC1M2916</t>
  </si>
  <si>
    <t>Vince Camuto Jacquard Cap-Sleeve Fit Flar Blush 16</t>
  </si>
  <si>
    <t>194592895844</t>
  </si>
  <si>
    <t>73PBD</t>
  </si>
  <si>
    <t>French Connection Joilie Textured Mini Skirt Black 2</t>
  </si>
  <si>
    <t>192942788273</t>
  </si>
  <si>
    <t>COTTON/VISCOSE/ELASTANE</t>
  </si>
  <si>
    <t>MVVCMS2299</t>
  </si>
  <si>
    <t>NYDJ Marilyn Straight-Leg Jeans Black 18</t>
  </si>
  <si>
    <t>889982922087</t>
  </si>
  <si>
    <t>EG8SKI3112</t>
  </si>
  <si>
    <t>Sam Edelman The Dani Belted Paperbag Jeans Kalina 8</t>
  </si>
  <si>
    <t>193653306695</t>
  </si>
  <si>
    <t>JJ36624</t>
  </si>
  <si>
    <t>julia jordan Twist-Front Halter Jumpsuit Navy 4</t>
  </si>
  <si>
    <t>889648314669</t>
  </si>
  <si>
    <t>julia jordan Twist-Front Halter Jumpsuit Navy 8</t>
  </si>
  <si>
    <t>889648314683</t>
  </si>
  <si>
    <t>SHELL: POLYESTER/SPANDEX; LINING: RAYON/ACETATE</t>
  </si>
  <si>
    <t>J9LJ0409</t>
  </si>
  <si>
    <t>Tommy Hilfiger Hooded Anorak Jacket Scarlet XXL</t>
  </si>
  <si>
    <t>190607513840</t>
  </si>
  <si>
    <t>Sam Edelman Jazzi Cotton Puff-Sleeve Denim Arbella XL</t>
  </si>
  <si>
    <t>193653307876</t>
  </si>
  <si>
    <t>VISCOSE/NYLON/SPANDEX</t>
  </si>
  <si>
    <t>EETK-P0375M</t>
  </si>
  <si>
    <t>Eileen Fisher Straight-Leg Pull-On Ankle Pan Black S</t>
  </si>
  <si>
    <t>713259003868</t>
  </si>
  <si>
    <t>COTTON/MODAL/ELASTANE</t>
  </si>
  <si>
    <t>7U303120</t>
  </si>
  <si>
    <t>7 For All Mankind Josefina Cropped Skinny Jeans Cosmic Blue 31</t>
  </si>
  <si>
    <t>190392945086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</si>
</sst>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51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14" fontId="19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165" fontId="0" fillId="0" borderId="0" xfId="42" applyFont="1" applyAlignment="1">
      <alignment horizontal="center"/>
    </xf>
    <xf numFmtId="165" fontId="19" fillId="0" borderId="0" xfId="0" applyNumberFormat="1" applyFont="1" applyAlignment="1">
      <alignment wrapText="1"/>
    </xf>
    <xf numFmtId="165" fontId="0" fillId="0" borderId="0" xfId="0" applyNumberFormat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wrapText="1"/>
    </xf>
    <xf numFmtId="1" fontId="19" fillId="0" borderId="10" xfId="0" applyNumberFormat="1" applyFont="1" applyBorder="1" applyAlignment="1">
      <alignment horizontal="center" wrapText="1"/>
    </xf>
    <xf numFmtId="165" fontId="19" fillId="0" borderId="10" xfId="42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/>
    </xf>
    <xf numFmtId="1" fontId="16" fillId="34" borderId="10" xfId="0" applyNumberFormat="1" applyFont="1" applyFill="1" applyBorder="1" applyAlignment="1">
      <alignment horizontal="center"/>
    </xf>
    <xf numFmtId="1" fontId="24" fillId="0" borderId="10" xfId="43" applyNumberFormat="1" applyFont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 wrapText="1"/>
    </xf>
    <xf numFmtId="0" fontId="22" fillId="39" borderId="10" xfId="0" applyFont="1" applyFill="1" applyBorder="1" applyAlignment="1">
      <alignment horizontal="center" vertical="center" wrapText="1"/>
    </xf>
    <xf numFmtId="0" fontId="18" fillId="40" borderId="10" xfId="0" applyFont="1" applyFill="1" applyBorder="1" applyAlignment="1">
      <alignment horizontal="center" vertical="center" wrapText="1"/>
    </xf>
    <xf numFmtId="0" fontId="18" fillId="41" borderId="10" xfId="0" applyFont="1" applyFill="1" applyBorder="1" applyAlignment="1">
      <alignment horizontal="center" vertical="center" wrapText="1"/>
    </xf>
    <xf numFmtId="0" fontId="22" fillId="42" borderId="10" xfId="0" applyFont="1" applyFill="1" applyBorder="1" applyAlignment="1">
      <alignment horizontal="center" vertical="center" wrapText="1"/>
    </xf>
    <xf numFmtId="0" fontId="18" fillId="43" borderId="10" xfId="0" applyFont="1" applyFill="1" applyBorder="1" applyAlignment="1">
      <alignment horizontal="center" vertical="center" wrapText="1"/>
    </xf>
    <xf numFmtId="0" fontId="22" fillId="44" borderId="10" xfId="0" applyFont="1" applyFill="1" applyBorder="1" applyAlignment="1">
      <alignment horizontal="center" vertical="center" wrapText="1"/>
    </xf>
    <xf numFmtId="0" fontId="18" fillId="45" borderId="10" xfId="0" applyFont="1" applyFill="1" applyBorder="1" applyAlignment="1">
      <alignment horizontal="center" vertical="center" wrapText="1"/>
    </xf>
    <xf numFmtId="0" fontId="18" fillId="46" borderId="10" xfId="0" applyFont="1" applyFill="1" applyBorder="1" applyAlignment="1">
      <alignment horizontal="center" vertical="center" wrapText="1"/>
    </xf>
    <xf numFmtId="165" fontId="18" fillId="34" borderId="10" xfId="42" applyFont="1" applyFill="1" applyBorder="1" applyAlignment="1">
      <alignment horizontal="center" vertical="center" wrapText="1"/>
    </xf>
    <xf numFmtId="165" fontId="16" fillId="34" borderId="10" xfId="42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33FF"/>
      <color rgb="FFFFFF99"/>
      <color rgb="FF0000FF"/>
      <color rgb="FF99FF33"/>
      <color rgb="FF00FFFF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15"/>
  <sheetViews>
    <sheetView tabSelected="1" topLeftCell="C1" workbookViewId="0">
      <selection activeCell="F26" sqref="F26"/>
    </sheetView>
  </sheetViews>
  <sheetFormatPr defaultRowHeight="15" x14ac:dyDescent="0.25"/>
  <cols>
    <col min="1" max="1" width="15.42578125" hidden="1" customWidth="1"/>
    <col min="2" max="2" width="16.28515625" hidden="1" customWidth="1"/>
    <col min="3" max="3" width="9.42578125" style="6" bestFit="1" customWidth="1"/>
    <col min="4" max="4" width="9" style="6" bestFit="1" customWidth="1"/>
    <col min="5" max="5" width="8.42578125" style="6" bestFit="1" customWidth="1"/>
    <col min="6" max="6" width="24.42578125" style="6" bestFit="1" customWidth="1"/>
    <col min="7" max="7" width="29.28515625" style="6" bestFit="1" customWidth="1"/>
    <col min="8" max="8" width="12.42578125" style="6" bestFit="1" customWidth="1"/>
    <col min="9" max="9" width="12.5703125" style="7" bestFit="1" customWidth="1"/>
    <col min="10" max="10" width="16.140625" style="6" bestFit="1" customWidth="1"/>
    <col min="11" max="11" width="22.28515625" customWidth="1"/>
    <col min="12" max="12" width="16.42578125" bestFit="1" customWidth="1"/>
    <col min="13" max="13" width="10.28515625" bestFit="1" customWidth="1"/>
    <col min="14" max="14" width="5.7109375" bestFit="1" customWidth="1"/>
    <col min="15" max="15" width="17.140625" customWidth="1"/>
    <col min="16" max="16" width="16.140625" bestFit="1" customWidth="1"/>
    <col min="17" max="17" width="12.28515625" bestFit="1" customWidth="1"/>
  </cols>
  <sheetData>
    <row r="1" spans="1:17" ht="24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49" t="s">
        <v>9</v>
      </c>
      <c r="J1" s="26" t="s">
        <v>10</v>
      </c>
      <c r="K1" s="1"/>
      <c r="L1" s="1"/>
      <c r="M1" s="1"/>
      <c r="N1" s="1"/>
      <c r="O1" s="1"/>
      <c r="P1" s="1"/>
      <c r="Q1" s="1"/>
    </row>
    <row r="2" spans="1:17" ht="15" customHeight="1" x14ac:dyDescent="0.25">
      <c r="A2" s="10"/>
      <c r="B2" s="11"/>
      <c r="C2" s="12" t="s">
        <v>14</v>
      </c>
      <c r="D2" s="29">
        <v>14139506</v>
      </c>
      <c r="E2" s="13">
        <v>1</v>
      </c>
      <c r="F2" s="13" t="s">
        <v>11</v>
      </c>
      <c r="G2" s="12" t="s">
        <v>12</v>
      </c>
      <c r="H2" s="12">
        <v>1</v>
      </c>
      <c r="I2" s="14">
        <v>28426.93</v>
      </c>
      <c r="J2" s="13">
        <v>428</v>
      </c>
      <c r="K2" s="8"/>
      <c r="L2" s="8"/>
      <c r="M2" s="5"/>
      <c r="N2" s="4"/>
      <c r="O2" s="3"/>
      <c r="P2" s="2"/>
      <c r="Q2" s="2"/>
    </row>
    <row r="3" spans="1:17" ht="15" customHeight="1" x14ac:dyDescent="0.25">
      <c r="A3" s="10"/>
      <c r="B3" s="11"/>
      <c r="C3" s="12" t="s">
        <v>14</v>
      </c>
      <c r="D3" s="29">
        <v>13988608</v>
      </c>
      <c r="E3" s="13">
        <v>1</v>
      </c>
      <c r="F3" s="13" t="s">
        <v>11</v>
      </c>
      <c r="G3" s="12" t="s">
        <v>12</v>
      </c>
      <c r="H3" s="12">
        <v>1</v>
      </c>
      <c r="I3" s="14">
        <v>51630.16</v>
      </c>
      <c r="J3" s="13">
        <v>515</v>
      </c>
      <c r="K3" s="8"/>
      <c r="L3" s="8"/>
      <c r="M3" s="5"/>
      <c r="N3" s="4"/>
      <c r="O3" s="3"/>
      <c r="P3" s="2"/>
      <c r="Q3" s="2"/>
    </row>
    <row r="4" spans="1:17" ht="15" customHeight="1" x14ac:dyDescent="0.25">
      <c r="A4" s="10"/>
      <c r="B4" s="11"/>
      <c r="C4" s="12" t="s">
        <v>14</v>
      </c>
      <c r="D4" s="29">
        <v>13986326</v>
      </c>
      <c r="E4" s="13">
        <v>1</v>
      </c>
      <c r="F4" s="13" t="s">
        <v>11</v>
      </c>
      <c r="G4" s="12" t="s">
        <v>12</v>
      </c>
      <c r="H4" s="12">
        <v>1</v>
      </c>
      <c r="I4" s="14">
        <v>64960</v>
      </c>
      <c r="J4" s="13">
        <v>651</v>
      </c>
      <c r="K4" s="8"/>
      <c r="L4" s="8"/>
      <c r="M4" s="5"/>
      <c r="N4" s="4"/>
      <c r="O4" s="3"/>
      <c r="P4" s="2"/>
      <c r="Q4" s="2"/>
    </row>
    <row r="5" spans="1:17" ht="15" customHeight="1" x14ac:dyDescent="0.25">
      <c r="A5" s="10"/>
      <c r="B5" s="11"/>
      <c r="C5" s="12" t="s">
        <v>14</v>
      </c>
      <c r="D5" s="29">
        <v>13974678</v>
      </c>
      <c r="E5" s="13">
        <v>1</v>
      </c>
      <c r="F5" s="13" t="s">
        <v>11</v>
      </c>
      <c r="G5" s="12" t="s">
        <v>12</v>
      </c>
      <c r="H5" s="12">
        <v>1</v>
      </c>
      <c r="I5" s="14">
        <v>51718.58</v>
      </c>
      <c r="J5" s="13">
        <v>795</v>
      </c>
      <c r="K5" s="8"/>
      <c r="L5" s="8"/>
      <c r="M5" s="5"/>
      <c r="N5" s="4"/>
      <c r="O5" s="3"/>
      <c r="P5" s="2"/>
      <c r="Q5" s="2"/>
    </row>
    <row r="6" spans="1:17" ht="15" customHeight="1" x14ac:dyDescent="0.25">
      <c r="A6" s="10"/>
      <c r="B6" s="11"/>
      <c r="C6" s="12" t="s">
        <v>14</v>
      </c>
      <c r="D6" s="29">
        <v>13971123</v>
      </c>
      <c r="E6" s="13">
        <v>1</v>
      </c>
      <c r="F6" s="13" t="s">
        <v>11</v>
      </c>
      <c r="G6" s="12" t="s">
        <v>12</v>
      </c>
      <c r="H6" s="12">
        <v>1</v>
      </c>
      <c r="I6" s="14">
        <v>54960.83</v>
      </c>
      <c r="J6" s="13">
        <v>745</v>
      </c>
      <c r="K6" s="8"/>
      <c r="L6" s="8"/>
      <c r="M6" s="5"/>
      <c r="N6" s="4"/>
      <c r="O6" s="3"/>
      <c r="P6" s="2"/>
      <c r="Q6" s="2"/>
    </row>
    <row r="7" spans="1:17" ht="15" customHeight="1" x14ac:dyDescent="0.25">
      <c r="A7" s="10"/>
      <c r="B7" s="11"/>
      <c r="C7" s="12" t="s">
        <v>14</v>
      </c>
      <c r="D7" s="29">
        <v>13966390</v>
      </c>
      <c r="E7" s="13">
        <v>1</v>
      </c>
      <c r="F7" s="13" t="s">
        <v>11</v>
      </c>
      <c r="G7" s="12" t="s">
        <v>12</v>
      </c>
      <c r="H7" s="12">
        <v>1</v>
      </c>
      <c r="I7" s="14">
        <v>65899.44</v>
      </c>
      <c r="J7" s="13">
        <v>851</v>
      </c>
      <c r="K7" s="8"/>
      <c r="L7" s="8"/>
      <c r="M7" s="5"/>
      <c r="N7" s="4"/>
      <c r="O7" s="3"/>
      <c r="P7" s="2"/>
      <c r="Q7" s="2"/>
    </row>
    <row r="8" spans="1:17" ht="15" customHeight="1" x14ac:dyDescent="0.25">
      <c r="A8" s="10"/>
      <c r="B8" s="11"/>
      <c r="C8" s="12" t="s">
        <v>14</v>
      </c>
      <c r="D8" s="29">
        <v>13956300</v>
      </c>
      <c r="E8" s="13">
        <v>1</v>
      </c>
      <c r="F8" s="13" t="s">
        <v>11</v>
      </c>
      <c r="G8" s="12" t="s">
        <v>12</v>
      </c>
      <c r="H8" s="12">
        <v>1</v>
      </c>
      <c r="I8" s="14">
        <v>57807.43</v>
      </c>
      <c r="J8" s="13">
        <v>580</v>
      </c>
      <c r="K8" s="8"/>
      <c r="L8" s="8"/>
      <c r="M8" s="5"/>
      <c r="N8" s="4"/>
      <c r="O8" s="3"/>
      <c r="P8" s="2"/>
      <c r="Q8" s="2"/>
    </row>
    <row r="9" spans="1:17" ht="15" customHeight="1" x14ac:dyDescent="0.25">
      <c r="A9" s="10"/>
      <c r="B9" s="11"/>
      <c r="C9" s="12" t="s">
        <v>14</v>
      </c>
      <c r="D9" s="29">
        <v>13945369</v>
      </c>
      <c r="E9" s="13">
        <v>1</v>
      </c>
      <c r="F9" s="13" t="s">
        <v>11</v>
      </c>
      <c r="G9" s="12" t="s">
        <v>12</v>
      </c>
      <c r="H9" s="12">
        <v>1</v>
      </c>
      <c r="I9" s="14">
        <v>61049.22</v>
      </c>
      <c r="J9" s="13">
        <v>741</v>
      </c>
      <c r="K9" s="8"/>
      <c r="L9" s="8"/>
      <c r="M9" s="5"/>
      <c r="N9" s="4"/>
      <c r="O9" s="3"/>
      <c r="P9" s="2"/>
      <c r="Q9" s="2"/>
    </row>
    <row r="10" spans="1:17" ht="15" customHeight="1" x14ac:dyDescent="0.25">
      <c r="A10" s="10"/>
      <c r="B10" s="11"/>
      <c r="C10" s="12" t="s">
        <v>14</v>
      </c>
      <c r="D10" s="29">
        <v>13943460</v>
      </c>
      <c r="E10" s="13">
        <v>1</v>
      </c>
      <c r="F10" s="13" t="s">
        <v>11</v>
      </c>
      <c r="G10" s="12" t="s">
        <v>12</v>
      </c>
      <c r="H10" s="12">
        <v>1</v>
      </c>
      <c r="I10" s="14">
        <v>40658.129999999997</v>
      </c>
      <c r="J10" s="13">
        <v>571</v>
      </c>
      <c r="K10" s="8"/>
      <c r="L10" s="8"/>
      <c r="M10" s="5"/>
      <c r="N10" s="4"/>
      <c r="O10" s="3"/>
      <c r="P10" s="2"/>
      <c r="Q10" s="2"/>
    </row>
    <row r="11" spans="1:17" ht="15" customHeight="1" x14ac:dyDescent="0.25">
      <c r="A11" s="10"/>
      <c r="B11" s="11"/>
      <c r="C11" s="12" t="s">
        <v>14</v>
      </c>
      <c r="D11" s="29">
        <v>13924835</v>
      </c>
      <c r="E11" s="13">
        <v>1</v>
      </c>
      <c r="F11" s="13" t="s">
        <v>11</v>
      </c>
      <c r="G11" s="12" t="s">
        <v>12</v>
      </c>
      <c r="H11" s="12">
        <v>1</v>
      </c>
      <c r="I11" s="14">
        <v>53734.41</v>
      </c>
      <c r="J11" s="13">
        <v>719</v>
      </c>
      <c r="K11" s="8"/>
      <c r="L11" s="8"/>
      <c r="M11" s="5"/>
      <c r="N11" s="4"/>
      <c r="O11" s="3"/>
      <c r="P11" s="2"/>
      <c r="Q11" s="2"/>
    </row>
    <row r="12" spans="1:17" ht="15" customHeight="1" x14ac:dyDescent="0.25">
      <c r="A12" s="10"/>
      <c r="B12" s="11"/>
      <c r="C12" s="12" t="s">
        <v>14</v>
      </c>
      <c r="D12" s="29">
        <v>13814863</v>
      </c>
      <c r="E12" s="13">
        <v>1</v>
      </c>
      <c r="F12" s="13" t="s">
        <v>11</v>
      </c>
      <c r="G12" s="12" t="s">
        <v>12</v>
      </c>
      <c r="H12" s="12">
        <v>1</v>
      </c>
      <c r="I12" s="14">
        <v>51561.39</v>
      </c>
      <c r="J12" s="13">
        <v>662</v>
      </c>
      <c r="K12" s="8"/>
      <c r="L12" s="8"/>
      <c r="M12" s="5"/>
      <c r="N12" s="4"/>
      <c r="O12" s="3"/>
      <c r="P12" s="2"/>
      <c r="Q12" s="2"/>
    </row>
    <row r="13" spans="1:17" ht="15" customHeight="1" x14ac:dyDescent="0.25">
      <c r="A13" s="10"/>
      <c r="B13" s="11"/>
      <c r="C13" s="12" t="s">
        <v>14</v>
      </c>
      <c r="D13" s="29">
        <v>13812457</v>
      </c>
      <c r="E13" s="13">
        <v>1</v>
      </c>
      <c r="F13" s="13" t="s">
        <v>11</v>
      </c>
      <c r="G13" s="12" t="s">
        <v>12</v>
      </c>
      <c r="H13" s="12">
        <v>1</v>
      </c>
      <c r="I13" s="14">
        <v>47622.37</v>
      </c>
      <c r="J13" s="13">
        <v>644</v>
      </c>
      <c r="K13" s="8"/>
      <c r="L13" s="8"/>
      <c r="M13" s="5"/>
      <c r="N13" s="4"/>
      <c r="O13" s="3"/>
      <c r="P13" s="2"/>
      <c r="Q13" s="2"/>
    </row>
    <row r="14" spans="1:17" ht="15" customHeight="1" x14ac:dyDescent="0.25">
      <c r="A14" s="10"/>
      <c r="B14" s="11"/>
      <c r="C14" s="12" t="s">
        <v>14</v>
      </c>
      <c r="D14" s="29">
        <v>13808823</v>
      </c>
      <c r="E14" s="13">
        <v>1</v>
      </c>
      <c r="F14" s="13" t="s">
        <v>11</v>
      </c>
      <c r="G14" s="12" t="s">
        <v>12</v>
      </c>
      <c r="H14" s="12">
        <v>1</v>
      </c>
      <c r="I14" s="14">
        <v>13923.78</v>
      </c>
      <c r="J14" s="13">
        <v>176</v>
      </c>
      <c r="K14" s="8"/>
      <c r="L14" s="8"/>
      <c r="M14" s="5"/>
      <c r="N14" s="4"/>
      <c r="O14" s="3"/>
      <c r="P14" s="2"/>
      <c r="Q14" s="2"/>
    </row>
    <row r="15" spans="1:17" x14ac:dyDescent="0.25">
      <c r="A15" t="s">
        <v>13</v>
      </c>
      <c r="H15" s="27">
        <f>SUM(H2:H14)</f>
        <v>13</v>
      </c>
      <c r="I15" s="50">
        <f>SUM(I2:I14)</f>
        <v>643952.67000000004</v>
      </c>
      <c r="J15" s="28">
        <f>SUM(J2:J14)</f>
        <v>8078</v>
      </c>
      <c r="K15" s="9"/>
    </row>
  </sheetData>
  <hyperlinks>
    <hyperlink ref="D2" location="'14139506'!A1" display="'14139506'!A1"/>
    <hyperlink ref="D3" location="'13988608'!A1" display="'13988608'!A1"/>
    <hyperlink ref="D4" location="'13986326'!A1" display="'13986326'!A1"/>
    <hyperlink ref="D5" location="'13974678'!A1" display="'13974678'!A1"/>
    <hyperlink ref="D6" location="'13971123'!A1" display="'13971123'!A1"/>
    <hyperlink ref="D7" location="'13966390'!A1" display="'13966390'!A1"/>
    <hyperlink ref="D8" location="'13956300'!A1" display="'13956300'!A1"/>
    <hyperlink ref="D9" location="'13945369'!A1" display="'13945369'!A1"/>
    <hyperlink ref="D10" location="'13943460'!A1" display="'13943460'!A1"/>
    <hyperlink ref="D11" location="'13924835'!A1" display="'13924835'!A1"/>
    <hyperlink ref="D12" location="'13814863'!A1" display="'13814863'!A1"/>
    <hyperlink ref="D13" location="'13812457'!A1" display="'13812457'!A1"/>
    <hyperlink ref="D14" location="'13808823'!A1" display="'13808823'!A1"/>
  </hyperlinks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N447"/>
  <sheetViews>
    <sheetView workbookViewId="0">
      <selection activeCell="K2" sqref="K2"/>
    </sheetView>
  </sheetViews>
  <sheetFormatPr defaultRowHeight="15" x14ac:dyDescent="0.25"/>
  <cols>
    <col min="1" max="1" width="14.140625" style="15" bestFit="1" customWidth="1"/>
    <col min="2" max="2" width="50.85546875" style="15" customWidth="1"/>
    <col min="3" max="3" width="12.42578125" style="15" bestFit="1" customWidth="1"/>
    <col min="4" max="4" width="8.7109375" style="15" bestFit="1" customWidth="1"/>
    <col min="5" max="5" width="14.85546875" style="15" bestFit="1" customWidth="1"/>
    <col min="6" max="6" width="13.28515625" style="15" bestFit="1" customWidth="1"/>
    <col min="7" max="7" width="10.28515625" style="15" customWidth="1"/>
    <col min="8" max="8" width="11.7109375" style="15" bestFit="1" customWidth="1"/>
    <col min="9" max="11" width="11.42578125" style="15" customWidth="1"/>
    <col min="12" max="12" width="7.42578125" style="15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4" ht="36" x14ac:dyDescent="0.25">
      <c r="A1" s="44" t="s">
        <v>2</v>
      </c>
      <c r="B1" s="44" t="s">
        <v>3</v>
      </c>
      <c r="C1" s="44" t="s">
        <v>5</v>
      </c>
      <c r="D1" s="44" t="s">
        <v>817</v>
      </c>
      <c r="E1" s="44" t="s">
        <v>7</v>
      </c>
      <c r="F1" s="44" t="s">
        <v>816</v>
      </c>
      <c r="G1" s="44" t="s">
        <v>815</v>
      </c>
      <c r="H1" s="44" t="s">
        <v>814</v>
      </c>
      <c r="I1" s="44" t="s">
        <v>10</v>
      </c>
      <c r="J1" s="44"/>
      <c r="K1" s="44"/>
    </row>
    <row r="2" spans="1:14" ht="36" x14ac:dyDescent="0.25">
      <c r="A2" s="17" t="s">
        <v>14</v>
      </c>
      <c r="B2" s="32">
        <v>13943460</v>
      </c>
      <c r="C2" s="17" t="s">
        <v>11</v>
      </c>
      <c r="D2" s="17" t="s">
        <v>813</v>
      </c>
      <c r="E2" s="20">
        <v>1</v>
      </c>
      <c r="F2" s="20">
        <v>4</v>
      </c>
      <c r="G2" s="17">
        <v>481</v>
      </c>
      <c r="H2" s="18">
        <v>40658.129999999997</v>
      </c>
      <c r="I2" s="17">
        <v>571</v>
      </c>
      <c r="J2" s="33"/>
      <c r="K2" s="33">
        <v>15.82399299474606</v>
      </c>
      <c r="L2" s="30"/>
      <c r="M2" s="30"/>
    </row>
    <row r="3" spans="1:14" x14ac:dyDescent="0.25">
      <c r="A3" s="23"/>
      <c r="B3" s="25"/>
      <c r="C3" s="23"/>
      <c r="D3" s="23"/>
      <c r="E3" s="25"/>
      <c r="F3" s="25"/>
      <c r="G3" s="23"/>
      <c r="H3" s="22"/>
      <c r="I3" s="23"/>
      <c r="J3" s="22"/>
      <c r="K3" s="22"/>
    </row>
    <row r="4" spans="1:14" s="21" customFormat="1" x14ac:dyDescent="0.25"/>
    <row r="5" spans="1:14" x14ac:dyDescent="0.25">
      <c r="A5" s="1"/>
      <c r="B5" s="1"/>
      <c r="C5" s="1"/>
      <c r="D5" s="1"/>
    </row>
    <row r="6" spans="1:14" x14ac:dyDescent="0.25">
      <c r="A6" s="24"/>
      <c r="B6" s="23"/>
      <c r="C6" s="22"/>
      <c r="D6" s="22"/>
    </row>
    <row r="7" spans="1:14" s="21" customFormat="1" x14ac:dyDescent="0.25"/>
    <row r="8" spans="1:14" ht="36" x14ac:dyDescent="0.25">
      <c r="A8" s="44" t="s">
        <v>812</v>
      </c>
      <c r="B8" s="44" t="s">
        <v>811</v>
      </c>
      <c r="C8" s="44" t="s">
        <v>810</v>
      </c>
      <c r="D8" s="44" t="s">
        <v>9</v>
      </c>
      <c r="E8" s="44" t="s">
        <v>809</v>
      </c>
      <c r="F8" s="44" t="s">
        <v>808</v>
      </c>
      <c r="G8" s="44" t="s">
        <v>807</v>
      </c>
      <c r="H8" s="44" t="s">
        <v>806</v>
      </c>
      <c r="I8" s="44" t="s">
        <v>805</v>
      </c>
      <c r="J8" s="44" t="s">
        <v>804</v>
      </c>
      <c r="K8" s="44" t="s">
        <v>803</v>
      </c>
      <c r="L8" s="44" t="s">
        <v>802</v>
      </c>
      <c r="M8" s="44" t="s">
        <v>801</v>
      </c>
    </row>
    <row r="9" spans="1:14" ht="60" x14ac:dyDescent="0.25">
      <c r="A9" s="19" t="s">
        <v>7012</v>
      </c>
      <c r="B9" s="17" t="s">
        <v>7011</v>
      </c>
      <c r="C9" s="20">
        <v>2</v>
      </c>
      <c r="D9" s="18">
        <v>200</v>
      </c>
      <c r="E9" s="20" t="s">
        <v>7010</v>
      </c>
      <c r="F9" s="17" t="s">
        <v>535</v>
      </c>
      <c r="G9" s="19" t="s">
        <v>857</v>
      </c>
      <c r="H9" s="18">
        <v>60.666666666666664</v>
      </c>
      <c r="I9" s="17" t="s">
        <v>481</v>
      </c>
      <c r="J9" s="17" t="s">
        <v>1500</v>
      </c>
      <c r="K9" s="17"/>
      <c r="L9" s="17"/>
      <c r="M9" s="16" t="str">
        <f>HYPERLINK("http://slimages.macys.com/is/image/MCY/18683433 ")</f>
        <v xml:space="preserve">http://slimages.macys.com/is/image/MCY/18683433 </v>
      </c>
      <c r="N9" s="30"/>
    </row>
    <row r="10" spans="1:14" ht="60" x14ac:dyDescent="0.25">
      <c r="A10" s="19" t="s">
        <v>7009</v>
      </c>
      <c r="B10" s="17" t="s">
        <v>7008</v>
      </c>
      <c r="C10" s="20">
        <v>1</v>
      </c>
      <c r="D10" s="18">
        <v>198</v>
      </c>
      <c r="E10" s="20" t="s">
        <v>7007</v>
      </c>
      <c r="F10" s="17" t="s">
        <v>164</v>
      </c>
      <c r="G10" s="19"/>
      <c r="H10" s="18">
        <v>60</v>
      </c>
      <c r="I10" s="17" t="s">
        <v>148</v>
      </c>
      <c r="J10" s="17" t="s">
        <v>147</v>
      </c>
      <c r="K10" s="17"/>
      <c r="L10" s="17"/>
      <c r="M10" s="16" t="str">
        <f>HYPERLINK("http://slimages.macys.com/is/image/MCY/18525205 ")</f>
        <v xml:space="preserve">http://slimages.macys.com/is/image/MCY/18525205 </v>
      </c>
      <c r="N10" s="30"/>
    </row>
    <row r="11" spans="1:14" ht="60" x14ac:dyDescent="0.25">
      <c r="A11" s="19" t="s">
        <v>4113</v>
      </c>
      <c r="B11" s="17" t="s">
        <v>4112</v>
      </c>
      <c r="C11" s="20">
        <v>1</v>
      </c>
      <c r="D11" s="18">
        <v>198</v>
      </c>
      <c r="E11" s="20" t="s">
        <v>4111</v>
      </c>
      <c r="F11" s="17" t="s">
        <v>23</v>
      </c>
      <c r="G11" s="19"/>
      <c r="H11" s="18">
        <v>60</v>
      </c>
      <c r="I11" s="17" t="s">
        <v>148</v>
      </c>
      <c r="J11" s="17" t="s">
        <v>3216</v>
      </c>
      <c r="K11" s="17"/>
      <c r="L11" s="17"/>
      <c r="M11" s="16" t="str">
        <f>HYPERLINK("http://slimages.macys.com/is/image/MCY/18820422 ")</f>
        <v xml:space="preserve">http://slimages.macys.com/is/image/MCY/18820422 </v>
      </c>
      <c r="N11" s="30"/>
    </row>
    <row r="12" spans="1:14" ht="60" x14ac:dyDescent="0.25">
      <c r="A12" s="19" t="s">
        <v>7006</v>
      </c>
      <c r="B12" s="17" t="s">
        <v>7005</v>
      </c>
      <c r="C12" s="20">
        <v>1</v>
      </c>
      <c r="D12" s="18">
        <v>198</v>
      </c>
      <c r="E12" s="20" t="s">
        <v>7004</v>
      </c>
      <c r="F12" s="17" t="s">
        <v>282</v>
      </c>
      <c r="G12" s="19" t="s">
        <v>419</v>
      </c>
      <c r="H12" s="18">
        <v>60</v>
      </c>
      <c r="I12" s="17" t="s">
        <v>148</v>
      </c>
      <c r="J12" s="17" t="s">
        <v>3216</v>
      </c>
      <c r="K12" s="17"/>
      <c r="L12" s="17"/>
      <c r="M12" s="16" t="str">
        <f>HYPERLINK("http://slimages.macys.com/is/image/MCY/18820422 ")</f>
        <v xml:space="preserve">http://slimages.macys.com/is/image/MCY/18820422 </v>
      </c>
      <c r="N12" s="30"/>
    </row>
    <row r="13" spans="1:14" ht="60" x14ac:dyDescent="0.25">
      <c r="A13" s="19" t="s">
        <v>7003</v>
      </c>
      <c r="B13" s="17" t="s">
        <v>7002</v>
      </c>
      <c r="C13" s="20">
        <v>1</v>
      </c>
      <c r="D13" s="18">
        <v>198</v>
      </c>
      <c r="E13" s="20" t="s">
        <v>7001</v>
      </c>
      <c r="F13" s="17" t="s">
        <v>51</v>
      </c>
      <c r="G13" s="19" t="s">
        <v>757</v>
      </c>
      <c r="H13" s="18">
        <v>56.84</v>
      </c>
      <c r="I13" s="17" t="s">
        <v>756</v>
      </c>
      <c r="J13" s="17" t="s">
        <v>153</v>
      </c>
      <c r="K13" s="17"/>
      <c r="L13" s="17"/>
      <c r="M13" s="16" t="str">
        <f>HYPERLINK("http://slimages.macys.com/is/image/MCY/19755865 ")</f>
        <v xml:space="preserve">http://slimages.macys.com/is/image/MCY/19755865 </v>
      </c>
      <c r="N13" s="30"/>
    </row>
    <row r="14" spans="1:14" ht="108" x14ac:dyDescent="0.25">
      <c r="A14" s="19" t="s">
        <v>7000</v>
      </c>
      <c r="B14" s="17" t="s">
        <v>6999</v>
      </c>
      <c r="C14" s="20">
        <v>1</v>
      </c>
      <c r="D14" s="18">
        <v>198</v>
      </c>
      <c r="E14" s="20" t="s">
        <v>6998</v>
      </c>
      <c r="F14" s="17" t="s">
        <v>51</v>
      </c>
      <c r="G14" s="19" t="s">
        <v>74</v>
      </c>
      <c r="H14" s="18">
        <v>56.84</v>
      </c>
      <c r="I14" s="17" t="s">
        <v>153</v>
      </c>
      <c r="J14" s="17" t="s">
        <v>153</v>
      </c>
      <c r="K14" s="17" t="s">
        <v>637</v>
      </c>
      <c r="L14" s="17" t="s">
        <v>6997</v>
      </c>
      <c r="M14" s="16" t="str">
        <f>HYPERLINK("http://images.bloomingdales.com/is/image/BLM/11432379 ")</f>
        <v xml:space="preserve">http://images.bloomingdales.com/is/image/BLM/11432379 </v>
      </c>
      <c r="N14" s="30"/>
    </row>
    <row r="15" spans="1:14" ht="60" x14ac:dyDescent="0.25">
      <c r="A15" s="19" t="s">
        <v>6996</v>
      </c>
      <c r="B15" s="17" t="s">
        <v>6995</v>
      </c>
      <c r="C15" s="20">
        <v>1</v>
      </c>
      <c r="D15" s="18">
        <v>188</v>
      </c>
      <c r="E15" s="20" t="s">
        <v>6994</v>
      </c>
      <c r="F15" s="17" t="s">
        <v>75</v>
      </c>
      <c r="G15" s="19"/>
      <c r="H15" s="18">
        <v>56.666666666666671</v>
      </c>
      <c r="I15" s="17" t="s">
        <v>148</v>
      </c>
      <c r="J15" s="17" t="s">
        <v>147</v>
      </c>
      <c r="K15" s="17"/>
      <c r="L15" s="17"/>
      <c r="M15" s="16" t="str">
        <f>HYPERLINK("http://slimages.macys.com/is/image/MCY/19263008 ")</f>
        <v xml:space="preserve">http://slimages.macys.com/is/image/MCY/19263008 </v>
      </c>
      <c r="N15" s="30"/>
    </row>
    <row r="16" spans="1:14" ht="60" x14ac:dyDescent="0.25">
      <c r="A16" s="19" t="s">
        <v>6993</v>
      </c>
      <c r="B16" s="17" t="s">
        <v>6992</v>
      </c>
      <c r="C16" s="20">
        <v>1</v>
      </c>
      <c r="D16" s="18">
        <v>178</v>
      </c>
      <c r="E16" s="20" t="s">
        <v>6991</v>
      </c>
      <c r="F16" s="17" t="s">
        <v>51</v>
      </c>
      <c r="G16" s="19" t="s">
        <v>197</v>
      </c>
      <c r="H16" s="18">
        <v>55.733333333333334</v>
      </c>
      <c r="I16" s="17" t="s">
        <v>153</v>
      </c>
      <c r="J16" s="17" t="s">
        <v>153</v>
      </c>
      <c r="K16" s="17" t="s">
        <v>6990</v>
      </c>
      <c r="L16" s="17" t="s">
        <v>6989</v>
      </c>
      <c r="M16" s="16" t="str">
        <f>HYPERLINK("http://slimages.macys.com/is/image/MCY/11308246 ")</f>
        <v xml:space="preserve">http://slimages.macys.com/is/image/MCY/11308246 </v>
      </c>
      <c r="N16" s="30"/>
    </row>
    <row r="17" spans="1:14" ht="60" x14ac:dyDescent="0.25">
      <c r="A17" s="19" t="s">
        <v>6988</v>
      </c>
      <c r="B17" s="17" t="s">
        <v>6987</v>
      </c>
      <c r="C17" s="20">
        <v>1</v>
      </c>
      <c r="D17" s="18">
        <v>198</v>
      </c>
      <c r="E17" s="20" t="s">
        <v>6986</v>
      </c>
      <c r="F17" s="17" t="s">
        <v>164</v>
      </c>
      <c r="G17" s="19" t="s">
        <v>197</v>
      </c>
      <c r="H17" s="18">
        <v>55.533333333333339</v>
      </c>
      <c r="I17" s="17" t="s">
        <v>153</v>
      </c>
      <c r="J17" s="17" t="s">
        <v>153</v>
      </c>
      <c r="K17" s="17" t="s">
        <v>4105</v>
      </c>
      <c r="L17" s="17" t="s">
        <v>4104</v>
      </c>
      <c r="M17" s="16" t="str">
        <f>HYPERLINK("http://slimages.macys.com/is/image/MCY/14603345 ")</f>
        <v xml:space="preserve">http://slimages.macys.com/is/image/MCY/14603345 </v>
      </c>
      <c r="N17" s="30"/>
    </row>
    <row r="18" spans="1:14" ht="60" x14ac:dyDescent="0.25">
      <c r="A18" s="19" t="s">
        <v>6985</v>
      </c>
      <c r="B18" s="17" t="s">
        <v>6984</v>
      </c>
      <c r="C18" s="20">
        <v>1</v>
      </c>
      <c r="D18" s="18">
        <v>160</v>
      </c>
      <c r="E18" s="20" t="s">
        <v>6983</v>
      </c>
      <c r="F18" s="17" t="s">
        <v>51</v>
      </c>
      <c r="G18" s="19" t="s">
        <v>62</v>
      </c>
      <c r="H18" s="18">
        <v>53.333333333333336</v>
      </c>
      <c r="I18" s="17" t="s">
        <v>133</v>
      </c>
      <c r="J18" s="17" t="s">
        <v>1530</v>
      </c>
      <c r="K18" s="17"/>
      <c r="L18" s="17"/>
      <c r="M18" s="16" t="str">
        <f>HYPERLINK("http://slimages.macys.com/is/image/MCY/19003021 ")</f>
        <v xml:space="preserve">http://slimages.macys.com/is/image/MCY/19003021 </v>
      </c>
      <c r="N18" s="30"/>
    </row>
    <row r="19" spans="1:14" ht="60" x14ac:dyDescent="0.25">
      <c r="A19" s="19" t="s">
        <v>6982</v>
      </c>
      <c r="B19" s="17" t="s">
        <v>6981</v>
      </c>
      <c r="C19" s="20">
        <v>1</v>
      </c>
      <c r="D19" s="18">
        <v>146</v>
      </c>
      <c r="E19" s="20" t="s">
        <v>6980</v>
      </c>
      <c r="F19" s="17" t="s">
        <v>51</v>
      </c>
      <c r="G19" s="19" t="s">
        <v>69</v>
      </c>
      <c r="H19" s="18">
        <v>48.666666666666664</v>
      </c>
      <c r="I19" s="17" t="s">
        <v>133</v>
      </c>
      <c r="J19" s="17" t="s">
        <v>1530</v>
      </c>
      <c r="K19" s="17"/>
      <c r="L19" s="17"/>
      <c r="M19" s="16" t="str">
        <f>HYPERLINK("http://slimages.macys.com/is/image/MCY/19003006 ")</f>
        <v xml:space="preserve">http://slimages.macys.com/is/image/MCY/19003006 </v>
      </c>
      <c r="N19" s="30"/>
    </row>
    <row r="20" spans="1:14" ht="60" x14ac:dyDescent="0.25">
      <c r="A20" s="19" t="s">
        <v>6979</v>
      </c>
      <c r="B20" s="17" t="s">
        <v>6978</v>
      </c>
      <c r="C20" s="20">
        <v>1</v>
      </c>
      <c r="D20" s="18">
        <v>150</v>
      </c>
      <c r="E20" s="20" t="s">
        <v>6172</v>
      </c>
      <c r="F20" s="17" t="s">
        <v>23</v>
      </c>
      <c r="G20" s="19" t="s">
        <v>857</v>
      </c>
      <c r="H20" s="18">
        <v>46.000000000000007</v>
      </c>
      <c r="I20" s="17" t="s">
        <v>481</v>
      </c>
      <c r="J20" s="17" t="s">
        <v>1500</v>
      </c>
      <c r="K20" s="17"/>
      <c r="L20" s="17"/>
      <c r="M20" s="16" t="str">
        <f>HYPERLINK("http://slimages.macys.com/is/image/MCY/18947139 ")</f>
        <v xml:space="preserve">http://slimages.macys.com/is/image/MCY/18947139 </v>
      </c>
      <c r="N20" s="30"/>
    </row>
    <row r="21" spans="1:14" ht="60" x14ac:dyDescent="0.25">
      <c r="A21" s="19" t="s">
        <v>6977</v>
      </c>
      <c r="B21" s="17" t="s">
        <v>6976</v>
      </c>
      <c r="C21" s="20">
        <v>1</v>
      </c>
      <c r="D21" s="18">
        <v>168</v>
      </c>
      <c r="E21" s="20" t="s">
        <v>6975</v>
      </c>
      <c r="F21" s="17" t="s">
        <v>28</v>
      </c>
      <c r="G21" s="19"/>
      <c r="H21" s="18">
        <v>45.333333333333336</v>
      </c>
      <c r="I21" s="17" t="s">
        <v>148</v>
      </c>
      <c r="J21" s="17" t="s">
        <v>147</v>
      </c>
      <c r="K21" s="17"/>
      <c r="L21" s="17"/>
      <c r="M21" s="16" t="str">
        <f>HYPERLINK("http://slimages.macys.com/is/image/MCY/19781789 ")</f>
        <v xml:space="preserve">http://slimages.macys.com/is/image/MCY/19781789 </v>
      </c>
      <c r="N21" s="30"/>
    </row>
    <row r="22" spans="1:14" ht="60" x14ac:dyDescent="0.25">
      <c r="A22" s="19" t="s">
        <v>6974</v>
      </c>
      <c r="B22" s="17" t="s">
        <v>6973</v>
      </c>
      <c r="C22" s="20">
        <v>1</v>
      </c>
      <c r="D22" s="18">
        <v>150</v>
      </c>
      <c r="E22" s="20" t="s">
        <v>2299</v>
      </c>
      <c r="F22" s="17" t="s">
        <v>91</v>
      </c>
      <c r="G22" s="19" t="s">
        <v>74</v>
      </c>
      <c r="H22" s="18">
        <v>45.333333333333336</v>
      </c>
      <c r="I22" s="17" t="s">
        <v>133</v>
      </c>
      <c r="J22" s="17" t="s">
        <v>1437</v>
      </c>
      <c r="K22" s="17"/>
      <c r="L22" s="17"/>
      <c r="M22" s="16" t="str">
        <f>HYPERLINK("http://slimages.macys.com/is/image/MCY/19439329 ")</f>
        <v xml:space="preserve">http://slimages.macys.com/is/image/MCY/19439329 </v>
      </c>
      <c r="N22" s="30"/>
    </row>
    <row r="23" spans="1:14" ht="60" x14ac:dyDescent="0.25">
      <c r="A23" s="19" t="s">
        <v>6168</v>
      </c>
      <c r="B23" s="17" t="s">
        <v>6167</v>
      </c>
      <c r="C23" s="20">
        <v>1</v>
      </c>
      <c r="D23" s="18">
        <v>158</v>
      </c>
      <c r="E23" s="20" t="s">
        <v>6166</v>
      </c>
      <c r="F23" s="17" t="s">
        <v>345</v>
      </c>
      <c r="G23" s="19" t="s">
        <v>3053</v>
      </c>
      <c r="H23" s="18">
        <v>45.24</v>
      </c>
      <c r="I23" s="17" t="s">
        <v>756</v>
      </c>
      <c r="J23" s="17" t="s">
        <v>153</v>
      </c>
      <c r="K23" s="17"/>
      <c r="L23" s="17"/>
      <c r="M23" s="16" t="str">
        <f>HYPERLINK("http://slimages.macys.com/is/image/MCY/19201172 ")</f>
        <v xml:space="preserve">http://slimages.macys.com/is/image/MCY/19201172 </v>
      </c>
      <c r="N23" s="30"/>
    </row>
    <row r="24" spans="1:14" ht="60" x14ac:dyDescent="0.25">
      <c r="A24" s="19" t="s">
        <v>6972</v>
      </c>
      <c r="B24" s="17" t="s">
        <v>6971</v>
      </c>
      <c r="C24" s="20">
        <v>1</v>
      </c>
      <c r="D24" s="18">
        <v>158</v>
      </c>
      <c r="E24" s="20" t="s">
        <v>6166</v>
      </c>
      <c r="F24" s="17" t="s">
        <v>345</v>
      </c>
      <c r="G24" s="19" t="s">
        <v>757</v>
      </c>
      <c r="H24" s="18">
        <v>45.24</v>
      </c>
      <c r="I24" s="17" t="s">
        <v>756</v>
      </c>
      <c r="J24" s="17" t="s">
        <v>153</v>
      </c>
      <c r="K24" s="17"/>
      <c r="L24" s="17"/>
      <c r="M24" s="16" t="str">
        <f>HYPERLINK("http://slimages.macys.com/is/image/MCY/19201172 ")</f>
        <v xml:space="preserve">http://slimages.macys.com/is/image/MCY/19201172 </v>
      </c>
      <c r="N24" s="30"/>
    </row>
    <row r="25" spans="1:14" ht="60" x14ac:dyDescent="0.25">
      <c r="A25" s="19" t="s">
        <v>6970</v>
      </c>
      <c r="B25" s="17" t="s">
        <v>6969</v>
      </c>
      <c r="C25" s="20">
        <v>1</v>
      </c>
      <c r="D25" s="18">
        <v>148</v>
      </c>
      <c r="E25" s="20" t="s">
        <v>6968</v>
      </c>
      <c r="F25" s="17" t="s">
        <v>51</v>
      </c>
      <c r="G25" s="19" t="s">
        <v>682</v>
      </c>
      <c r="H25" s="18">
        <v>42.5</v>
      </c>
      <c r="I25" s="17" t="s">
        <v>133</v>
      </c>
      <c r="J25" s="17" t="s">
        <v>584</v>
      </c>
      <c r="K25" s="17"/>
      <c r="L25" s="17"/>
      <c r="M25" s="16" t="str">
        <f>HYPERLINK("http://slimages.macys.com/is/image/MCY/18796118 ")</f>
        <v xml:space="preserve">http://slimages.macys.com/is/image/MCY/18796118 </v>
      </c>
      <c r="N25" s="30"/>
    </row>
    <row r="26" spans="1:14" ht="84" x14ac:dyDescent="0.25">
      <c r="A26" s="19" t="s">
        <v>6967</v>
      </c>
      <c r="B26" s="17" t="s">
        <v>6966</v>
      </c>
      <c r="C26" s="20">
        <v>1</v>
      </c>
      <c r="D26" s="18">
        <v>129</v>
      </c>
      <c r="E26" s="20" t="s">
        <v>6965</v>
      </c>
      <c r="F26" s="17" t="s">
        <v>28</v>
      </c>
      <c r="G26" s="19" t="s">
        <v>857</v>
      </c>
      <c r="H26" s="18">
        <v>39.333333333333336</v>
      </c>
      <c r="I26" s="17" t="s">
        <v>148</v>
      </c>
      <c r="J26" s="17" t="s">
        <v>772</v>
      </c>
      <c r="K26" s="17" t="s">
        <v>6964</v>
      </c>
      <c r="L26" s="17" t="s">
        <v>6963</v>
      </c>
      <c r="M26" s="16" t="str">
        <f>HYPERLINK("http://images.bloomingdales.com/is/image/BLM/11451171 ")</f>
        <v xml:space="preserve">http://images.bloomingdales.com/is/image/BLM/11451171 </v>
      </c>
      <c r="N26" s="30"/>
    </row>
    <row r="27" spans="1:14" ht="60" x14ac:dyDescent="0.25">
      <c r="A27" s="19" t="s">
        <v>6962</v>
      </c>
      <c r="B27" s="17" t="s">
        <v>6961</v>
      </c>
      <c r="C27" s="20">
        <v>1</v>
      </c>
      <c r="D27" s="18">
        <v>148</v>
      </c>
      <c r="E27" s="20" t="s">
        <v>6960</v>
      </c>
      <c r="F27" s="17" t="s">
        <v>51</v>
      </c>
      <c r="G27" s="19" t="s">
        <v>682</v>
      </c>
      <c r="H27" s="18">
        <v>38.253333333333337</v>
      </c>
      <c r="I27" s="17" t="s">
        <v>133</v>
      </c>
      <c r="J27" s="17" t="s">
        <v>584</v>
      </c>
      <c r="K27" s="17"/>
      <c r="L27" s="17"/>
      <c r="M27" s="16" t="str">
        <f>HYPERLINK("http://slimages.macys.com/is/image/MCY/20230544 ")</f>
        <v xml:space="preserve">http://slimages.macys.com/is/image/MCY/20230544 </v>
      </c>
      <c r="N27" s="30"/>
    </row>
    <row r="28" spans="1:14" ht="60" x14ac:dyDescent="0.25">
      <c r="A28" s="19" t="s">
        <v>6959</v>
      </c>
      <c r="B28" s="17" t="s">
        <v>6958</v>
      </c>
      <c r="C28" s="20">
        <v>1</v>
      </c>
      <c r="D28" s="18">
        <v>125</v>
      </c>
      <c r="E28" s="20" t="s">
        <v>6955</v>
      </c>
      <c r="F28" s="17" t="s">
        <v>91</v>
      </c>
      <c r="G28" s="19" t="s">
        <v>69</v>
      </c>
      <c r="H28" s="18">
        <v>38</v>
      </c>
      <c r="I28" s="17" t="s">
        <v>133</v>
      </c>
      <c r="J28" s="17" t="s">
        <v>1437</v>
      </c>
      <c r="K28" s="17"/>
      <c r="L28" s="17"/>
      <c r="M28" s="16" t="str">
        <f>HYPERLINK("http://slimages.macys.com/is/image/MCY/19401014 ")</f>
        <v xml:space="preserve">http://slimages.macys.com/is/image/MCY/19401014 </v>
      </c>
      <c r="N28" s="30"/>
    </row>
    <row r="29" spans="1:14" ht="60" x14ac:dyDescent="0.25">
      <c r="A29" s="19" t="s">
        <v>6957</v>
      </c>
      <c r="B29" s="17" t="s">
        <v>6956</v>
      </c>
      <c r="C29" s="20">
        <v>1</v>
      </c>
      <c r="D29" s="18">
        <v>125</v>
      </c>
      <c r="E29" s="20" t="s">
        <v>6955</v>
      </c>
      <c r="F29" s="17" t="s">
        <v>91</v>
      </c>
      <c r="G29" s="19" t="s">
        <v>57</v>
      </c>
      <c r="H29" s="18">
        <v>38</v>
      </c>
      <c r="I29" s="17" t="s">
        <v>133</v>
      </c>
      <c r="J29" s="17" t="s">
        <v>1437</v>
      </c>
      <c r="K29" s="17"/>
      <c r="L29" s="17"/>
      <c r="M29" s="16" t="str">
        <f>HYPERLINK("http://slimages.macys.com/is/image/MCY/19401014 ")</f>
        <v xml:space="preserve">http://slimages.macys.com/is/image/MCY/19401014 </v>
      </c>
      <c r="N29" s="30"/>
    </row>
    <row r="30" spans="1:14" ht="60" x14ac:dyDescent="0.25">
      <c r="A30" s="19" t="s">
        <v>6954</v>
      </c>
      <c r="B30" s="17" t="s">
        <v>6953</v>
      </c>
      <c r="C30" s="20">
        <v>1</v>
      </c>
      <c r="D30" s="18">
        <v>168</v>
      </c>
      <c r="E30" s="20" t="s">
        <v>3038</v>
      </c>
      <c r="F30" s="17" t="s">
        <v>2876</v>
      </c>
      <c r="G30" s="19" t="s">
        <v>101</v>
      </c>
      <c r="H30" s="18">
        <v>37.073333333333338</v>
      </c>
      <c r="I30" s="17" t="s">
        <v>49</v>
      </c>
      <c r="J30" s="17" t="s">
        <v>48</v>
      </c>
      <c r="K30" s="17"/>
      <c r="L30" s="17"/>
      <c r="M30" s="16" t="str">
        <f>HYPERLINK("http://slimages.macys.com/is/image/MCY/18989779 ")</f>
        <v xml:space="preserve">http://slimages.macys.com/is/image/MCY/18989779 </v>
      </c>
      <c r="N30" s="30"/>
    </row>
    <row r="31" spans="1:14" ht="60" x14ac:dyDescent="0.25">
      <c r="A31" s="19" t="s">
        <v>6952</v>
      </c>
      <c r="B31" s="17" t="s">
        <v>6951</v>
      </c>
      <c r="C31" s="20">
        <v>1</v>
      </c>
      <c r="D31" s="18">
        <v>120</v>
      </c>
      <c r="E31" s="20" t="s">
        <v>6950</v>
      </c>
      <c r="F31" s="17" t="s">
        <v>413</v>
      </c>
      <c r="G31" s="19" t="s">
        <v>857</v>
      </c>
      <c r="H31" s="18">
        <v>36.666666666666671</v>
      </c>
      <c r="I31" s="17" t="s">
        <v>481</v>
      </c>
      <c r="J31" s="17" t="s">
        <v>1500</v>
      </c>
      <c r="K31" s="17"/>
      <c r="L31" s="17"/>
      <c r="M31" s="16" t="str">
        <f>HYPERLINK("http://slimages.macys.com/is/image/MCY/18851869 ")</f>
        <v xml:space="preserve">http://slimages.macys.com/is/image/MCY/18851869 </v>
      </c>
      <c r="N31" s="30"/>
    </row>
    <row r="32" spans="1:14" ht="60" x14ac:dyDescent="0.25">
      <c r="A32" s="19" t="s">
        <v>6949</v>
      </c>
      <c r="B32" s="17" t="s">
        <v>6948</v>
      </c>
      <c r="C32" s="20">
        <v>1</v>
      </c>
      <c r="D32" s="18">
        <v>120</v>
      </c>
      <c r="E32" s="20" t="s">
        <v>6945</v>
      </c>
      <c r="F32" s="17" t="s">
        <v>35</v>
      </c>
      <c r="G32" s="19" t="s">
        <v>857</v>
      </c>
      <c r="H32" s="18">
        <v>36.666666666666671</v>
      </c>
      <c r="I32" s="17" t="s">
        <v>481</v>
      </c>
      <c r="J32" s="17" t="s">
        <v>1500</v>
      </c>
      <c r="K32" s="17" t="s">
        <v>1945</v>
      </c>
      <c r="L32" s="17" t="s">
        <v>5396</v>
      </c>
      <c r="M32" s="16" t="str">
        <f>HYPERLINK("http://images.bloomingdales.com/is/image/BLM/11549027 ")</f>
        <v xml:space="preserve">http://images.bloomingdales.com/is/image/BLM/11549027 </v>
      </c>
      <c r="N32" s="30"/>
    </row>
    <row r="33" spans="1:14" ht="60" x14ac:dyDescent="0.25">
      <c r="A33" s="19" t="s">
        <v>6947</v>
      </c>
      <c r="B33" s="17" t="s">
        <v>6946</v>
      </c>
      <c r="C33" s="20">
        <v>2</v>
      </c>
      <c r="D33" s="18">
        <v>120</v>
      </c>
      <c r="E33" s="20" t="s">
        <v>6945</v>
      </c>
      <c r="F33" s="17" t="s">
        <v>35</v>
      </c>
      <c r="G33" s="19" t="s">
        <v>898</v>
      </c>
      <c r="H33" s="18">
        <v>36.666666666666671</v>
      </c>
      <c r="I33" s="17" t="s">
        <v>481</v>
      </c>
      <c r="J33" s="17" t="s">
        <v>1500</v>
      </c>
      <c r="K33" s="17" t="s">
        <v>1945</v>
      </c>
      <c r="L33" s="17" t="s">
        <v>5396</v>
      </c>
      <c r="M33" s="16" t="str">
        <f>HYPERLINK("http://images.bloomingdales.com/is/image/BLM/11549027 ")</f>
        <v xml:space="preserve">http://images.bloomingdales.com/is/image/BLM/11549027 </v>
      </c>
      <c r="N33" s="30"/>
    </row>
    <row r="34" spans="1:14" ht="60" x14ac:dyDescent="0.25">
      <c r="A34" s="19" t="s">
        <v>6944</v>
      </c>
      <c r="B34" s="17" t="s">
        <v>6943</v>
      </c>
      <c r="C34" s="20">
        <v>1</v>
      </c>
      <c r="D34" s="18">
        <v>148</v>
      </c>
      <c r="E34" s="20" t="s">
        <v>1474</v>
      </c>
      <c r="F34" s="17"/>
      <c r="G34" s="19" t="s">
        <v>17</v>
      </c>
      <c r="H34" s="18">
        <v>32.660000000000004</v>
      </c>
      <c r="I34" s="17" t="s">
        <v>49</v>
      </c>
      <c r="J34" s="17" t="s">
        <v>48</v>
      </c>
      <c r="K34" s="17"/>
      <c r="L34" s="17"/>
      <c r="M34" s="16" t="str">
        <f>HYPERLINK("http://slimages.macys.com/is/image/MCY/19411668 ")</f>
        <v xml:space="preserve">http://slimages.macys.com/is/image/MCY/19411668 </v>
      </c>
      <c r="N34" s="30"/>
    </row>
    <row r="35" spans="1:14" ht="108" x14ac:dyDescent="0.25">
      <c r="A35" s="19" t="s">
        <v>6942</v>
      </c>
      <c r="B35" s="17" t="s">
        <v>6941</v>
      </c>
      <c r="C35" s="20">
        <v>1</v>
      </c>
      <c r="D35" s="18">
        <v>96.75</v>
      </c>
      <c r="E35" s="20" t="s">
        <v>6938</v>
      </c>
      <c r="F35" s="17" t="s">
        <v>51</v>
      </c>
      <c r="G35" s="19" t="s">
        <v>738</v>
      </c>
      <c r="H35" s="18">
        <v>30.099999999999998</v>
      </c>
      <c r="I35" s="17" t="s">
        <v>33</v>
      </c>
      <c r="J35" s="17" t="s">
        <v>496</v>
      </c>
      <c r="K35" s="17" t="s">
        <v>389</v>
      </c>
      <c r="L35" s="17" t="s">
        <v>6937</v>
      </c>
      <c r="M35" s="16" t="str">
        <f>HYPERLINK("http://slimages.macys.com/is/image/MCY/9702171 ")</f>
        <v xml:space="preserve">http://slimages.macys.com/is/image/MCY/9702171 </v>
      </c>
      <c r="N35" s="30"/>
    </row>
    <row r="36" spans="1:14" ht="108" x14ac:dyDescent="0.25">
      <c r="A36" s="19" t="s">
        <v>6940</v>
      </c>
      <c r="B36" s="17" t="s">
        <v>6939</v>
      </c>
      <c r="C36" s="20">
        <v>1</v>
      </c>
      <c r="D36" s="18">
        <v>96.75</v>
      </c>
      <c r="E36" s="20" t="s">
        <v>6938</v>
      </c>
      <c r="F36" s="17" t="s">
        <v>330</v>
      </c>
      <c r="G36" s="19" t="s">
        <v>4021</v>
      </c>
      <c r="H36" s="18">
        <v>30.099999999999998</v>
      </c>
      <c r="I36" s="17" t="s">
        <v>33</v>
      </c>
      <c r="J36" s="17" t="s">
        <v>496</v>
      </c>
      <c r="K36" s="17" t="s">
        <v>389</v>
      </c>
      <c r="L36" s="17" t="s">
        <v>6937</v>
      </c>
      <c r="M36" s="16" t="str">
        <f>HYPERLINK("http://slimages.macys.com/is/image/MCY/9702171 ")</f>
        <v xml:space="preserve">http://slimages.macys.com/is/image/MCY/9702171 </v>
      </c>
      <c r="N36" s="30"/>
    </row>
    <row r="37" spans="1:14" ht="60" x14ac:dyDescent="0.25">
      <c r="A37" s="19" t="s">
        <v>6936</v>
      </c>
      <c r="B37" s="17" t="s">
        <v>6935</v>
      </c>
      <c r="C37" s="20">
        <v>1</v>
      </c>
      <c r="D37" s="18">
        <v>99</v>
      </c>
      <c r="E37" s="20" t="s">
        <v>6099</v>
      </c>
      <c r="F37" s="17" t="s">
        <v>28</v>
      </c>
      <c r="G37" s="19" t="s">
        <v>116</v>
      </c>
      <c r="H37" s="18">
        <v>30</v>
      </c>
      <c r="I37" s="17" t="s">
        <v>148</v>
      </c>
      <c r="J37" s="17" t="s">
        <v>772</v>
      </c>
      <c r="K37" s="17"/>
      <c r="L37" s="17"/>
      <c r="M37" s="16" t="str">
        <f>HYPERLINK("http://slimages.macys.com/is/image/MCY/19323977 ")</f>
        <v xml:space="preserve">http://slimages.macys.com/is/image/MCY/19323977 </v>
      </c>
      <c r="N37" s="30"/>
    </row>
    <row r="38" spans="1:14" ht="60" x14ac:dyDescent="0.25">
      <c r="A38" s="19" t="s">
        <v>6105</v>
      </c>
      <c r="B38" s="17" t="s">
        <v>6104</v>
      </c>
      <c r="C38" s="20">
        <v>1</v>
      </c>
      <c r="D38" s="18">
        <v>99</v>
      </c>
      <c r="E38" s="20" t="s">
        <v>6099</v>
      </c>
      <c r="F38" s="17" t="s">
        <v>28</v>
      </c>
      <c r="G38" s="19" t="s">
        <v>857</v>
      </c>
      <c r="H38" s="18">
        <v>30</v>
      </c>
      <c r="I38" s="17" t="s">
        <v>148</v>
      </c>
      <c r="J38" s="17" t="s">
        <v>772</v>
      </c>
      <c r="K38" s="17"/>
      <c r="L38" s="17"/>
      <c r="M38" s="16" t="str">
        <f>HYPERLINK("http://slimages.macys.com/is/image/MCY/19323977 ")</f>
        <v xml:space="preserve">http://slimages.macys.com/is/image/MCY/19323977 </v>
      </c>
      <c r="N38" s="30"/>
    </row>
    <row r="39" spans="1:14" ht="96" x14ac:dyDescent="0.25">
      <c r="A39" s="19" t="s">
        <v>6934</v>
      </c>
      <c r="B39" s="17" t="s">
        <v>6933</v>
      </c>
      <c r="C39" s="20">
        <v>1</v>
      </c>
      <c r="D39" s="18">
        <v>99</v>
      </c>
      <c r="E39" s="20" t="s">
        <v>774</v>
      </c>
      <c r="F39" s="17" t="s">
        <v>58</v>
      </c>
      <c r="G39" s="19" t="s">
        <v>857</v>
      </c>
      <c r="H39" s="18">
        <v>30</v>
      </c>
      <c r="I39" s="17" t="s">
        <v>148</v>
      </c>
      <c r="J39" s="17" t="s">
        <v>772</v>
      </c>
      <c r="K39" s="17" t="s">
        <v>771</v>
      </c>
      <c r="L39" s="17" t="s">
        <v>770</v>
      </c>
      <c r="M39" s="16" t="str">
        <f>HYPERLINK("http://images.bloomingdales.com/is/image/BLM/11387933 ")</f>
        <v xml:space="preserve">http://images.bloomingdales.com/is/image/BLM/11387933 </v>
      </c>
      <c r="N39" s="30"/>
    </row>
    <row r="40" spans="1:14" ht="60" x14ac:dyDescent="0.25">
      <c r="A40" s="19" t="s">
        <v>6932</v>
      </c>
      <c r="B40" s="17" t="s">
        <v>6931</v>
      </c>
      <c r="C40" s="20">
        <v>1</v>
      </c>
      <c r="D40" s="18">
        <v>99</v>
      </c>
      <c r="E40" s="20" t="s">
        <v>2985</v>
      </c>
      <c r="F40" s="17" t="s">
        <v>263</v>
      </c>
      <c r="G40" s="19" t="s">
        <v>773</v>
      </c>
      <c r="H40" s="18">
        <v>30</v>
      </c>
      <c r="I40" s="17" t="s">
        <v>148</v>
      </c>
      <c r="J40" s="17" t="s">
        <v>772</v>
      </c>
      <c r="K40" s="17"/>
      <c r="L40" s="17"/>
      <c r="M40" s="16" t="str">
        <f>HYPERLINK("http://slimages.macys.com/is/image/MCY/16428909 ")</f>
        <v xml:space="preserve">http://slimages.macys.com/is/image/MCY/16428909 </v>
      </c>
      <c r="N40" s="30"/>
    </row>
    <row r="41" spans="1:14" ht="60" x14ac:dyDescent="0.25">
      <c r="A41" s="19" t="s">
        <v>6930</v>
      </c>
      <c r="B41" s="17" t="s">
        <v>6929</v>
      </c>
      <c r="C41" s="20">
        <v>1</v>
      </c>
      <c r="D41" s="18">
        <v>149</v>
      </c>
      <c r="E41" s="20" t="s">
        <v>6928</v>
      </c>
      <c r="F41" s="17" t="s">
        <v>508</v>
      </c>
      <c r="G41" s="19" t="s">
        <v>698</v>
      </c>
      <c r="H41" s="18">
        <v>29.8</v>
      </c>
      <c r="I41" s="17" t="s">
        <v>144</v>
      </c>
      <c r="J41" s="17" t="s">
        <v>496</v>
      </c>
      <c r="K41" s="17"/>
      <c r="L41" s="17"/>
      <c r="M41" s="16" t="str">
        <f>HYPERLINK("http://slimages.macys.com/is/image/MCY/19035859 ")</f>
        <v xml:space="preserve">http://slimages.macys.com/is/image/MCY/19035859 </v>
      </c>
      <c r="N41" s="30"/>
    </row>
    <row r="42" spans="1:14" ht="84" x14ac:dyDescent="0.25">
      <c r="A42" s="19" t="s">
        <v>6927</v>
      </c>
      <c r="B42" s="17" t="s">
        <v>6926</v>
      </c>
      <c r="C42" s="20">
        <v>1</v>
      </c>
      <c r="D42" s="18">
        <v>179.99</v>
      </c>
      <c r="E42" s="20" t="s">
        <v>6925</v>
      </c>
      <c r="F42" s="17" t="s">
        <v>85</v>
      </c>
      <c r="G42" s="19" t="s">
        <v>658</v>
      </c>
      <c r="H42" s="18">
        <v>29.16</v>
      </c>
      <c r="I42" s="17" t="s">
        <v>854</v>
      </c>
      <c r="J42" s="17" t="s">
        <v>496</v>
      </c>
      <c r="K42" s="17" t="s">
        <v>389</v>
      </c>
      <c r="L42" s="17" t="s">
        <v>6924</v>
      </c>
      <c r="M42" s="16" t="str">
        <f>HYPERLINK("http://slimages.macys.com/is/image/MCY/16694750 ")</f>
        <v xml:space="preserve">http://slimages.macys.com/is/image/MCY/16694750 </v>
      </c>
      <c r="N42" s="30"/>
    </row>
    <row r="43" spans="1:14" ht="60" x14ac:dyDescent="0.25">
      <c r="A43" s="19" t="s">
        <v>6923</v>
      </c>
      <c r="B43" s="17" t="s">
        <v>6922</v>
      </c>
      <c r="C43" s="20">
        <v>1</v>
      </c>
      <c r="D43" s="18">
        <v>129.5</v>
      </c>
      <c r="E43" s="20" t="s">
        <v>6921</v>
      </c>
      <c r="F43" s="17" t="s">
        <v>544</v>
      </c>
      <c r="G43" s="19" t="s">
        <v>749</v>
      </c>
      <c r="H43" s="18">
        <v>28.480000000000004</v>
      </c>
      <c r="I43" s="17" t="s">
        <v>654</v>
      </c>
      <c r="J43" s="17" t="s">
        <v>653</v>
      </c>
      <c r="K43" s="17"/>
      <c r="L43" s="17"/>
      <c r="M43" s="16" t="str">
        <f>HYPERLINK("http://slimages.macys.com/is/image/MCY/18839582 ")</f>
        <v xml:space="preserve">http://slimages.macys.com/is/image/MCY/18839582 </v>
      </c>
      <c r="N43" s="30"/>
    </row>
    <row r="44" spans="1:14" ht="60" x14ac:dyDescent="0.25">
      <c r="A44" s="19" t="s">
        <v>6920</v>
      </c>
      <c r="B44" s="17" t="s">
        <v>6919</v>
      </c>
      <c r="C44" s="20">
        <v>1</v>
      </c>
      <c r="D44" s="18">
        <v>128</v>
      </c>
      <c r="E44" s="20" t="s">
        <v>6918</v>
      </c>
      <c r="F44" s="17" t="s">
        <v>58</v>
      </c>
      <c r="G44" s="19" t="s">
        <v>101</v>
      </c>
      <c r="H44" s="18">
        <v>28.24666666666667</v>
      </c>
      <c r="I44" s="17" t="s">
        <v>49</v>
      </c>
      <c r="J44" s="17" t="s">
        <v>48</v>
      </c>
      <c r="K44" s="17"/>
      <c r="L44" s="17"/>
      <c r="M44" s="16" t="str">
        <f>HYPERLINK("http://slimages.macys.com/is/image/MCY/18749889 ")</f>
        <v xml:space="preserve">http://slimages.macys.com/is/image/MCY/18749889 </v>
      </c>
      <c r="N44" s="30"/>
    </row>
    <row r="45" spans="1:14" ht="60" x14ac:dyDescent="0.25">
      <c r="A45" s="19" t="s">
        <v>4751</v>
      </c>
      <c r="B45" s="17" t="s">
        <v>4750</v>
      </c>
      <c r="C45" s="20">
        <v>1</v>
      </c>
      <c r="D45" s="18">
        <v>128</v>
      </c>
      <c r="E45" s="20" t="s">
        <v>761</v>
      </c>
      <c r="F45" s="17" t="s">
        <v>23</v>
      </c>
      <c r="G45" s="19" t="s">
        <v>17</v>
      </c>
      <c r="H45" s="18">
        <v>28.24666666666667</v>
      </c>
      <c r="I45" s="17" t="s">
        <v>49</v>
      </c>
      <c r="J45" s="17" t="s">
        <v>48</v>
      </c>
      <c r="K45" s="17"/>
      <c r="L45" s="17"/>
      <c r="M45" s="16" t="str">
        <f>HYPERLINK("http://slimages.macys.com/is/image/MCY/19357129 ")</f>
        <v xml:space="preserve">http://slimages.macys.com/is/image/MCY/19357129 </v>
      </c>
      <c r="N45" s="30"/>
    </row>
    <row r="46" spans="1:14" ht="60" x14ac:dyDescent="0.25">
      <c r="A46" s="19" t="s">
        <v>6917</v>
      </c>
      <c r="B46" s="17" t="s">
        <v>6916</v>
      </c>
      <c r="C46" s="20">
        <v>1</v>
      </c>
      <c r="D46" s="18">
        <v>128</v>
      </c>
      <c r="E46" s="20" t="s">
        <v>6913</v>
      </c>
      <c r="F46" s="17" t="s">
        <v>149</v>
      </c>
      <c r="G46" s="19" t="s">
        <v>17</v>
      </c>
      <c r="H46" s="18">
        <v>28.24666666666667</v>
      </c>
      <c r="I46" s="17" t="s">
        <v>49</v>
      </c>
      <c r="J46" s="17" t="s">
        <v>48</v>
      </c>
      <c r="K46" s="17"/>
      <c r="L46" s="17"/>
      <c r="M46" s="16" t="str">
        <f>HYPERLINK("http://slimages.macys.com/is/image/MCY/19359897 ")</f>
        <v xml:space="preserve">http://slimages.macys.com/is/image/MCY/19359897 </v>
      </c>
      <c r="N46" s="30"/>
    </row>
    <row r="47" spans="1:14" ht="60" x14ac:dyDescent="0.25">
      <c r="A47" s="19" t="s">
        <v>6915</v>
      </c>
      <c r="B47" s="17" t="s">
        <v>6914</v>
      </c>
      <c r="C47" s="20">
        <v>1</v>
      </c>
      <c r="D47" s="18">
        <v>128</v>
      </c>
      <c r="E47" s="20" t="s">
        <v>6913</v>
      </c>
      <c r="F47" s="17" t="s">
        <v>149</v>
      </c>
      <c r="G47" s="19" t="s">
        <v>22</v>
      </c>
      <c r="H47" s="18">
        <v>28.24666666666667</v>
      </c>
      <c r="I47" s="17" t="s">
        <v>49</v>
      </c>
      <c r="J47" s="17" t="s">
        <v>48</v>
      </c>
      <c r="K47" s="17"/>
      <c r="L47" s="17"/>
      <c r="M47" s="16" t="str">
        <f>HYPERLINK("http://slimages.macys.com/is/image/MCY/19359897 ")</f>
        <v xml:space="preserve">http://slimages.macys.com/is/image/MCY/19359897 </v>
      </c>
      <c r="N47" s="30"/>
    </row>
    <row r="48" spans="1:14" ht="60" x14ac:dyDescent="0.25">
      <c r="A48" s="19" t="s">
        <v>6085</v>
      </c>
      <c r="B48" s="17" t="s">
        <v>6084</v>
      </c>
      <c r="C48" s="20">
        <v>1</v>
      </c>
      <c r="D48" s="18">
        <v>111.75</v>
      </c>
      <c r="E48" s="20" t="s">
        <v>6083</v>
      </c>
      <c r="F48" s="17" t="s">
        <v>272</v>
      </c>
      <c r="G48" s="19" t="s">
        <v>1445</v>
      </c>
      <c r="H48" s="18">
        <v>28.126666666666669</v>
      </c>
      <c r="I48" s="17" t="s">
        <v>358</v>
      </c>
      <c r="J48" s="17" t="s">
        <v>32</v>
      </c>
      <c r="K48" s="17"/>
      <c r="L48" s="17"/>
      <c r="M48" s="16" t="str">
        <f>HYPERLINK("http://slimages.macys.com/is/image/MCY/19728217 ")</f>
        <v xml:space="preserve">http://slimages.macys.com/is/image/MCY/19728217 </v>
      </c>
      <c r="N48" s="30"/>
    </row>
    <row r="49" spans="1:14" ht="60" x14ac:dyDescent="0.25">
      <c r="A49" s="19" t="s">
        <v>6912</v>
      </c>
      <c r="B49" s="17" t="s">
        <v>6911</v>
      </c>
      <c r="C49" s="20">
        <v>1</v>
      </c>
      <c r="D49" s="18">
        <v>139.5</v>
      </c>
      <c r="E49" s="20" t="s">
        <v>4744</v>
      </c>
      <c r="F49" s="17" t="s">
        <v>28</v>
      </c>
      <c r="G49" s="19" t="s">
        <v>698</v>
      </c>
      <c r="H49" s="18">
        <v>28.106666666666669</v>
      </c>
      <c r="I49" s="17" t="s">
        <v>106</v>
      </c>
      <c r="J49" s="17" t="s">
        <v>105</v>
      </c>
      <c r="K49" s="17"/>
      <c r="L49" s="17"/>
      <c r="M49" s="16" t="str">
        <f>HYPERLINK("http://slimages.macys.com/is/image/MCY/18827570 ")</f>
        <v xml:space="preserve">http://slimages.macys.com/is/image/MCY/18827570 </v>
      </c>
      <c r="N49" s="30"/>
    </row>
    <row r="50" spans="1:14" ht="84" x14ac:dyDescent="0.25">
      <c r="A50" s="19" t="s">
        <v>6910</v>
      </c>
      <c r="B50" s="17" t="s">
        <v>6909</v>
      </c>
      <c r="C50" s="20">
        <v>1</v>
      </c>
      <c r="D50" s="18">
        <v>109.99</v>
      </c>
      <c r="E50" s="20">
        <v>50039099</v>
      </c>
      <c r="F50" s="17" t="s">
        <v>726</v>
      </c>
      <c r="G50" s="19" t="s">
        <v>698</v>
      </c>
      <c r="H50" s="18">
        <v>28.000000000000004</v>
      </c>
      <c r="I50" s="17" t="s">
        <v>854</v>
      </c>
      <c r="J50" s="17" t="s">
        <v>850</v>
      </c>
      <c r="K50" s="17" t="s">
        <v>389</v>
      </c>
      <c r="L50" s="17" t="s">
        <v>6908</v>
      </c>
      <c r="M50" s="16" t="str">
        <f>HYPERLINK("http://slimages.macys.com/is/image/MCY/15847492 ")</f>
        <v xml:space="preserve">http://slimages.macys.com/is/image/MCY/15847492 </v>
      </c>
      <c r="N50" s="30"/>
    </row>
    <row r="51" spans="1:14" ht="60" x14ac:dyDescent="0.25">
      <c r="A51" s="19" t="s">
        <v>6907</v>
      </c>
      <c r="B51" s="17" t="s">
        <v>6906</v>
      </c>
      <c r="C51" s="20">
        <v>1</v>
      </c>
      <c r="D51" s="18">
        <v>98</v>
      </c>
      <c r="E51" s="20" t="s">
        <v>6905</v>
      </c>
      <c r="F51" s="17" t="s">
        <v>51</v>
      </c>
      <c r="G51" s="19" t="s">
        <v>43</v>
      </c>
      <c r="H51" s="18">
        <v>27.840000000000003</v>
      </c>
      <c r="I51" s="17" t="s">
        <v>153</v>
      </c>
      <c r="J51" s="17" t="s">
        <v>153</v>
      </c>
      <c r="K51" s="17"/>
      <c r="L51" s="17"/>
      <c r="M51" s="16" t="str">
        <f>HYPERLINK("http://slimages.macys.com/is/image/MCY/18655905 ")</f>
        <v xml:space="preserve">http://slimages.macys.com/is/image/MCY/18655905 </v>
      </c>
      <c r="N51" s="30"/>
    </row>
    <row r="52" spans="1:14" ht="60" x14ac:dyDescent="0.25">
      <c r="A52" s="19" t="s">
        <v>6904</v>
      </c>
      <c r="B52" s="17" t="s">
        <v>6903</v>
      </c>
      <c r="C52" s="20">
        <v>1</v>
      </c>
      <c r="D52" s="18">
        <v>118</v>
      </c>
      <c r="E52" s="20" t="s">
        <v>6902</v>
      </c>
      <c r="F52" s="17" t="s">
        <v>23</v>
      </c>
      <c r="G52" s="19" t="s">
        <v>69</v>
      </c>
      <c r="H52" s="18">
        <v>27.533333333333335</v>
      </c>
      <c r="I52" s="17" t="s">
        <v>133</v>
      </c>
      <c r="J52" s="17" t="s">
        <v>584</v>
      </c>
      <c r="K52" s="17"/>
      <c r="L52" s="17"/>
      <c r="M52" s="16" t="str">
        <f>HYPERLINK("http://slimages.macys.com/is/image/MCY/18581224 ")</f>
        <v xml:space="preserve">http://slimages.macys.com/is/image/MCY/18581224 </v>
      </c>
      <c r="N52" s="30"/>
    </row>
    <row r="53" spans="1:14" ht="60" x14ac:dyDescent="0.25">
      <c r="A53" s="19" t="s">
        <v>2183</v>
      </c>
      <c r="B53" s="17" t="s">
        <v>2182</v>
      </c>
      <c r="C53" s="20">
        <v>1</v>
      </c>
      <c r="D53" s="18">
        <v>96.75</v>
      </c>
      <c r="E53" s="20">
        <v>10769526</v>
      </c>
      <c r="F53" s="17" t="s">
        <v>28</v>
      </c>
      <c r="G53" s="19" t="s">
        <v>139</v>
      </c>
      <c r="H53" s="18">
        <v>27.093333333333334</v>
      </c>
      <c r="I53" s="17" t="s">
        <v>358</v>
      </c>
      <c r="J53" s="17" t="s">
        <v>143</v>
      </c>
      <c r="K53" s="17"/>
      <c r="L53" s="17"/>
      <c r="M53" s="16" t="str">
        <f>HYPERLINK("http://slimages.macys.com/is/image/MCY/19096214 ")</f>
        <v xml:space="preserve">http://slimages.macys.com/is/image/MCY/19096214 </v>
      </c>
      <c r="N53" s="30"/>
    </row>
    <row r="54" spans="1:14" ht="60" x14ac:dyDescent="0.25">
      <c r="A54" s="19" t="s">
        <v>6901</v>
      </c>
      <c r="B54" s="17" t="s">
        <v>6900</v>
      </c>
      <c r="C54" s="20">
        <v>1</v>
      </c>
      <c r="D54" s="18">
        <v>95</v>
      </c>
      <c r="E54" s="20" t="s">
        <v>6899</v>
      </c>
      <c r="F54" s="17" t="s">
        <v>28</v>
      </c>
      <c r="G54" s="19" t="s">
        <v>62</v>
      </c>
      <c r="H54" s="18">
        <v>26.666666666666668</v>
      </c>
      <c r="I54" s="17" t="s">
        <v>133</v>
      </c>
      <c r="J54" s="17" t="s">
        <v>6898</v>
      </c>
      <c r="K54" s="17"/>
      <c r="L54" s="17"/>
      <c r="M54" s="16" t="str">
        <f>HYPERLINK("http://slimages.macys.com/is/image/MCY/18859892 ")</f>
        <v xml:space="preserve">http://slimages.macys.com/is/image/MCY/18859892 </v>
      </c>
      <c r="N54" s="30"/>
    </row>
    <row r="55" spans="1:14" ht="60" x14ac:dyDescent="0.25">
      <c r="A55" s="19" t="s">
        <v>1425</v>
      </c>
      <c r="B55" s="17" t="s">
        <v>1424</v>
      </c>
      <c r="C55" s="20">
        <v>1</v>
      </c>
      <c r="D55" s="18">
        <v>148</v>
      </c>
      <c r="E55" s="20" t="s">
        <v>1423</v>
      </c>
      <c r="F55" s="17" t="s">
        <v>23</v>
      </c>
      <c r="G55" s="19" t="s">
        <v>682</v>
      </c>
      <c r="H55" s="18">
        <v>26.64</v>
      </c>
      <c r="I55" s="17" t="s">
        <v>115</v>
      </c>
      <c r="J55" s="17" t="s">
        <v>742</v>
      </c>
      <c r="K55" s="17"/>
      <c r="L55" s="17"/>
      <c r="M55" s="16" t="str">
        <f>HYPERLINK("http://slimages.macys.com/is/image/MCY/19102968 ")</f>
        <v xml:space="preserve">http://slimages.macys.com/is/image/MCY/19102968 </v>
      </c>
      <c r="N55" s="30"/>
    </row>
    <row r="56" spans="1:14" ht="60" x14ac:dyDescent="0.25">
      <c r="A56" s="19" t="s">
        <v>6897</v>
      </c>
      <c r="B56" s="17" t="s">
        <v>6896</v>
      </c>
      <c r="C56" s="20">
        <v>2</v>
      </c>
      <c r="D56" s="18">
        <v>98</v>
      </c>
      <c r="E56" s="20" t="s">
        <v>2166</v>
      </c>
      <c r="F56" s="17" t="s">
        <v>282</v>
      </c>
      <c r="G56" s="19" t="s">
        <v>6895</v>
      </c>
      <c r="H56" s="18">
        <v>26.6</v>
      </c>
      <c r="I56" s="17" t="s">
        <v>148</v>
      </c>
      <c r="J56" s="17" t="s">
        <v>2093</v>
      </c>
      <c r="K56" s="17"/>
      <c r="L56" s="17"/>
      <c r="M56" s="16" t="str">
        <f>HYPERLINK("http://slimages.macys.com/is/image/MCY/18869369 ")</f>
        <v xml:space="preserve">http://slimages.macys.com/is/image/MCY/18869369 </v>
      </c>
      <c r="N56" s="30"/>
    </row>
    <row r="57" spans="1:14" ht="72" x14ac:dyDescent="0.25">
      <c r="A57" s="19" t="s">
        <v>6894</v>
      </c>
      <c r="B57" s="17" t="s">
        <v>6893</v>
      </c>
      <c r="C57" s="20">
        <v>1</v>
      </c>
      <c r="D57" s="18">
        <v>109</v>
      </c>
      <c r="E57" s="20" t="s">
        <v>6892</v>
      </c>
      <c r="F57" s="17" t="s">
        <v>575</v>
      </c>
      <c r="G57" s="19" t="s">
        <v>682</v>
      </c>
      <c r="H57" s="18">
        <v>26.6</v>
      </c>
      <c r="I57" s="17" t="s">
        <v>1363</v>
      </c>
      <c r="J57" s="17" t="s">
        <v>1362</v>
      </c>
      <c r="K57" s="17" t="s">
        <v>389</v>
      </c>
      <c r="L57" s="17" t="s">
        <v>6891</v>
      </c>
      <c r="M57" s="16" t="str">
        <f>HYPERLINK("http://slimages.macys.com/is/image/MCY/8620495 ")</f>
        <v xml:space="preserve">http://slimages.macys.com/is/image/MCY/8620495 </v>
      </c>
      <c r="N57" s="30"/>
    </row>
    <row r="58" spans="1:14" ht="96" x14ac:dyDescent="0.25">
      <c r="A58" s="19" t="s">
        <v>6890</v>
      </c>
      <c r="B58" s="17" t="s">
        <v>6889</v>
      </c>
      <c r="C58" s="20">
        <v>1</v>
      </c>
      <c r="D58" s="18">
        <v>109</v>
      </c>
      <c r="E58" s="20" t="s">
        <v>6888</v>
      </c>
      <c r="F58" s="17" t="s">
        <v>51</v>
      </c>
      <c r="G58" s="19" t="s">
        <v>857</v>
      </c>
      <c r="H58" s="18">
        <v>26.6</v>
      </c>
      <c r="I58" s="17" t="s">
        <v>1363</v>
      </c>
      <c r="J58" s="17" t="s">
        <v>1362</v>
      </c>
      <c r="K58" s="17" t="s">
        <v>389</v>
      </c>
      <c r="L58" s="17" t="s">
        <v>4024</v>
      </c>
      <c r="M58" s="16" t="str">
        <f>HYPERLINK("http://slimages.macys.com/is/image/MCY/9816306 ")</f>
        <v xml:space="preserve">http://slimages.macys.com/is/image/MCY/9816306 </v>
      </c>
      <c r="N58" s="30"/>
    </row>
    <row r="59" spans="1:14" ht="96" x14ac:dyDescent="0.25">
      <c r="A59" s="19" t="s">
        <v>6887</v>
      </c>
      <c r="B59" s="17" t="s">
        <v>6886</v>
      </c>
      <c r="C59" s="20">
        <v>1</v>
      </c>
      <c r="D59" s="18">
        <v>109</v>
      </c>
      <c r="E59" s="20" t="s">
        <v>4025</v>
      </c>
      <c r="F59" s="17" t="s">
        <v>51</v>
      </c>
      <c r="G59" s="19" t="s">
        <v>682</v>
      </c>
      <c r="H59" s="18">
        <v>26.6</v>
      </c>
      <c r="I59" s="17" t="s">
        <v>1363</v>
      </c>
      <c r="J59" s="17" t="s">
        <v>1362</v>
      </c>
      <c r="K59" s="17" t="s">
        <v>389</v>
      </c>
      <c r="L59" s="17" t="s">
        <v>4024</v>
      </c>
      <c r="M59" s="16" t="str">
        <f>HYPERLINK("http://slimages.macys.com/is/image/MCY/12790861 ")</f>
        <v xml:space="preserve">http://slimages.macys.com/is/image/MCY/12790861 </v>
      </c>
      <c r="N59" s="30"/>
    </row>
    <row r="60" spans="1:14" ht="108" x14ac:dyDescent="0.25">
      <c r="A60" s="19" t="s">
        <v>6885</v>
      </c>
      <c r="B60" s="17" t="s">
        <v>6884</v>
      </c>
      <c r="C60" s="20">
        <v>1</v>
      </c>
      <c r="D60" s="18">
        <v>109</v>
      </c>
      <c r="E60" s="20" t="s">
        <v>6883</v>
      </c>
      <c r="F60" s="17" t="s">
        <v>575</v>
      </c>
      <c r="G60" s="19" t="s">
        <v>857</v>
      </c>
      <c r="H60" s="18">
        <v>26.6</v>
      </c>
      <c r="I60" s="17" t="s">
        <v>1363</v>
      </c>
      <c r="J60" s="17" t="s">
        <v>1362</v>
      </c>
      <c r="K60" s="17" t="s">
        <v>389</v>
      </c>
      <c r="L60" s="17" t="s">
        <v>6877</v>
      </c>
      <c r="M60" s="16" t="str">
        <f>HYPERLINK("http://slimages.macys.com/is/image/MCY/8625849 ")</f>
        <v xml:space="preserve">http://slimages.macys.com/is/image/MCY/8625849 </v>
      </c>
      <c r="N60" s="30"/>
    </row>
    <row r="61" spans="1:14" ht="108" x14ac:dyDescent="0.25">
      <c r="A61" s="19" t="s">
        <v>6882</v>
      </c>
      <c r="B61" s="17" t="s">
        <v>6881</v>
      </c>
      <c r="C61" s="20">
        <v>1</v>
      </c>
      <c r="D61" s="18">
        <v>109</v>
      </c>
      <c r="E61" s="20" t="s">
        <v>6878</v>
      </c>
      <c r="F61" s="17" t="s">
        <v>575</v>
      </c>
      <c r="G61" s="19" t="s">
        <v>857</v>
      </c>
      <c r="H61" s="18">
        <v>26.38</v>
      </c>
      <c r="I61" s="17" t="s">
        <v>1363</v>
      </c>
      <c r="J61" s="17" t="s">
        <v>1362</v>
      </c>
      <c r="K61" s="17" t="s">
        <v>389</v>
      </c>
      <c r="L61" s="17" t="s">
        <v>6877</v>
      </c>
      <c r="M61" s="16" t="str">
        <f>HYPERLINK("http://slimages.macys.com/is/image/MCY/8778091 ")</f>
        <v xml:space="preserve">http://slimages.macys.com/is/image/MCY/8778091 </v>
      </c>
      <c r="N61" s="30"/>
    </row>
    <row r="62" spans="1:14" ht="108" x14ac:dyDescent="0.25">
      <c r="A62" s="19" t="s">
        <v>6880</v>
      </c>
      <c r="B62" s="17" t="s">
        <v>6879</v>
      </c>
      <c r="C62" s="20">
        <v>1</v>
      </c>
      <c r="D62" s="18">
        <v>109</v>
      </c>
      <c r="E62" s="20" t="s">
        <v>6878</v>
      </c>
      <c r="F62" s="17" t="s">
        <v>575</v>
      </c>
      <c r="G62" s="19" t="s">
        <v>116</v>
      </c>
      <c r="H62" s="18">
        <v>26.38</v>
      </c>
      <c r="I62" s="17" t="s">
        <v>1363</v>
      </c>
      <c r="J62" s="17" t="s">
        <v>1362</v>
      </c>
      <c r="K62" s="17" t="s">
        <v>389</v>
      </c>
      <c r="L62" s="17" t="s">
        <v>6877</v>
      </c>
      <c r="M62" s="16" t="str">
        <f>HYPERLINK("http://slimages.macys.com/is/image/MCY/8778091 ")</f>
        <v xml:space="preserve">http://slimages.macys.com/is/image/MCY/8778091 </v>
      </c>
      <c r="N62" s="30"/>
    </row>
    <row r="63" spans="1:14" ht="60" x14ac:dyDescent="0.25">
      <c r="A63" s="19" t="s">
        <v>6876</v>
      </c>
      <c r="B63" s="17" t="s">
        <v>6875</v>
      </c>
      <c r="C63" s="20">
        <v>1</v>
      </c>
      <c r="D63" s="18">
        <v>104.25</v>
      </c>
      <c r="E63" s="20" t="s">
        <v>5322</v>
      </c>
      <c r="F63" s="17" t="s">
        <v>282</v>
      </c>
      <c r="G63" s="19" t="s">
        <v>1191</v>
      </c>
      <c r="H63" s="18">
        <v>26.233333333333334</v>
      </c>
      <c r="I63" s="17" t="s">
        <v>358</v>
      </c>
      <c r="J63" s="17" t="s">
        <v>32</v>
      </c>
      <c r="K63" s="17"/>
      <c r="L63" s="17"/>
      <c r="M63" s="16" t="str">
        <f>HYPERLINK("http://slimages.macys.com/is/image/MCY/19728299 ")</f>
        <v xml:space="preserve">http://slimages.macys.com/is/image/MCY/19728299 </v>
      </c>
      <c r="N63" s="30"/>
    </row>
    <row r="64" spans="1:14" ht="60" x14ac:dyDescent="0.25">
      <c r="A64" s="19" t="s">
        <v>6874</v>
      </c>
      <c r="B64" s="17" t="s">
        <v>6873</v>
      </c>
      <c r="C64" s="20">
        <v>1</v>
      </c>
      <c r="D64" s="18">
        <v>104.25</v>
      </c>
      <c r="E64" s="20" t="s">
        <v>5322</v>
      </c>
      <c r="F64" s="17" t="s">
        <v>282</v>
      </c>
      <c r="G64" s="19"/>
      <c r="H64" s="18">
        <v>26.233333333333334</v>
      </c>
      <c r="I64" s="17" t="s">
        <v>358</v>
      </c>
      <c r="J64" s="17" t="s">
        <v>32</v>
      </c>
      <c r="K64" s="17"/>
      <c r="L64" s="17"/>
      <c r="M64" s="16" t="str">
        <f>HYPERLINK("http://slimages.macys.com/is/image/MCY/19728299 ")</f>
        <v xml:space="preserve">http://slimages.macys.com/is/image/MCY/19728299 </v>
      </c>
      <c r="N64" s="30"/>
    </row>
    <row r="65" spans="1:14" ht="60" x14ac:dyDescent="0.25">
      <c r="A65" s="19" t="s">
        <v>6872</v>
      </c>
      <c r="B65" s="17" t="s">
        <v>6871</v>
      </c>
      <c r="C65" s="20">
        <v>1</v>
      </c>
      <c r="D65" s="18">
        <v>104.25</v>
      </c>
      <c r="E65" s="20" t="s">
        <v>739</v>
      </c>
      <c r="F65" s="17" t="s">
        <v>272</v>
      </c>
      <c r="G65" s="19" t="s">
        <v>1968</v>
      </c>
      <c r="H65" s="18">
        <v>26.233333333333334</v>
      </c>
      <c r="I65" s="17" t="s">
        <v>33</v>
      </c>
      <c r="J65" s="17" t="s">
        <v>32</v>
      </c>
      <c r="K65" s="17"/>
      <c r="L65" s="17"/>
      <c r="M65" s="16" t="str">
        <f>HYPERLINK("http://slimages.macys.com/is/image/MCY/19722944 ")</f>
        <v xml:space="preserve">http://slimages.macys.com/is/image/MCY/19722944 </v>
      </c>
      <c r="N65" s="30"/>
    </row>
    <row r="66" spans="1:14" ht="60" x14ac:dyDescent="0.25">
      <c r="A66" s="19" t="s">
        <v>6870</v>
      </c>
      <c r="B66" s="17" t="s">
        <v>6869</v>
      </c>
      <c r="C66" s="20">
        <v>1</v>
      </c>
      <c r="D66" s="18">
        <v>98</v>
      </c>
      <c r="E66" s="20" t="s">
        <v>6868</v>
      </c>
      <c r="F66" s="17" t="s">
        <v>282</v>
      </c>
      <c r="G66" s="19"/>
      <c r="H66" s="18">
        <v>26.133333333333333</v>
      </c>
      <c r="I66" s="17" t="s">
        <v>148</v>
      </c>
      <c r="J66" s="17" t="s">
        <v>2093</v>
      </c>
      <c r="K66" s="17"/>
      <c r="L66" s="17"/>
      <c r="M66" s="16" t="str">
        <f>HYPERLINK("http://slimages.macys.com/is/image/MCY/18869343 ")</f>
        <v xml:space="preserve">http://slimages.macys.com/is/image/MCY/18869343 </v>
      </c>
      <c r="N66" s="30"/>
    </row>
    <row r="67" spans="1:14" ht="60" x14ac:dyDescent="0.25">
      <c r="A67" s="19" t="s">
        <v>2162</v>
      </c>
      <c r="B67" s="17" t="s">
        <v>2161</v>
      </c>
      <c r="C67" s="20">
        <v>1</v>
      </c>
      <c r="D67" s="18">
        <v>118</v>
      </c>
      <c r="E67" s="20" t="s">
        <v>2160</v>
      </c>
      <c r="F67" s="17" t="s">
        <v>28</v>
      </c>
      <c r="G67" s="19" t="s">
        <v>682</v>
      </c>
      <c r="H67" s="18">
        <v>26.040000000000003</v>
      </c>
      <c r="I67" s="17" t="s">
        <v>49</v>
      </c>
      <c r="J67" s="17" t="s">
        <v>48</v>
      </c>
      <c r="K67" s="17"/>
      <c r="L67" s="17"/>
      <c r="M67" s="16" t="str">
        <f>HYPERLINK("http://slimages.macys.com/is/image/MCY/19349047 ")</f>
        <v xml:space="preserve">http://slimages.macys.com/is/image/MCY/19349047 </v>
      </c>
      <c r="N67" s="30"/>
    </row>
    <row r="68" spans="1:14" ht="60" x14ac:dyDescent="0.25">
      <c r="A68" s="19" t="s">
        <v>6867</v>
      </c>
      <c r="B68" s="17" t="s">
        <v>6866</v>
      </c>
      <c r="C68" s="20">
        <v>1</v>
      </c>
      <c r="D68" s="18">
        <v>118</v>
      </c>
      <c r="E68" s="20" t="s">
        <v>2160</v>
      </c>
      <c r="F68" s="17" t="s">
        <v>23</v>
      </c>
      <c r="G68" s="19" t="s">
        <v>898</v>
      </c>
      <c r="H68" s="18">
        <v>26.040000000000003</v>
      </c>
      <c r="I68" s="17" t="s">
        <v>49</v>
      </c>
      <c r="J68" s="17" t="s">
        <v>48</v>
      </c>
      <c r="K68" s="17"/>
      <c r="L68" s="17"/>
      <c r="M68" s="16" t="str">
        <f>HYPERLINK("http://slimages.macys.com/is/image/MCY/19349047 ")</f>
        <v xml:space="preserve">http://slimages.macys.com/is/image/MCY/19349047 </v>
      </c>
      <c r="N68" s="30"/>
    </row>
    <row r="69" spans="1:14" ht="60" x14ac:dyDescent="0.25">
      <c r="A69" s="19" t="s">
        <v>4713</v>
      </c>
      <c r="B69" s="17" t="s">
        <v>4712</v>
      </c>
      <c r="C69" s="20">
        <v>1</v>
      </c>
      <c r="D69" s="18">
        <v>129</v>
      </c>
      <c r="E69" s="20">
        <v>10803246</v>
      </c>
      <c r="F69" s="17" t="s">
        <v>282</v>
      </c>
      <c r="G69" s="19" t="s">
        <v>351</v>
      </c>
      <c r="H69" s="18">
        <v>25.8</v>
      </c>
      <c r="I69" s="17" t="s">
        <v>358</v>
      </c>
      <c r="J69" s="17" t="s">
        <v>554</v>
      </c>
      <c r="K69" s="17"/>
      <c r="L69" s="17"/>
      <c r="M69" s="16" t="str">
        <f>HYPERLINK("http://slimages.macys.com/is/image/MCY/19205618 ")</f>
        <v xml:space="preserve">http://slimages.macys.com/is/image/MCY/19205618 </v>
      </c>
      <c r="N69" s="30"/>
    </row>
    <row r="70" spans="1:14" ht="96" x14ac:dyDescent="0.25">
      <c r="A70" s="19" t="s">
        <v>6865</v>
      </c>
      <c r="B70" s="17" t="s">
        <v>6864</v>
      </c>
      <c r="C70" s="20">
        <v>1</v>
      </c>
      <c r="D70" s="18">
        <v>119</v>
      </c>
      <c r="E70" s="20">
        <v>7099368</v>
      </c>
      <c r="F70" s="17" t="s">
        <v>58</v>
      </c>
      <c r="G70" s="19"/>
      <c r="H70" s="18">
        <v>25.386666666666667</v>
      </c>
      <c r="I70" s="17" t="s">
        <v>111</v>
      </c>
      <c r="J70" s="17" t="s">
        <v>110</v>
      </c>
      <c r="K70" s="17" t="s">
        <v>389</v>
      </c>
      <c r="L70" s="17" t="s">
        <v>6861</v>
      </c>
      <c r="M70" s="16" t="str">
        <f>HYPERLINK("http://slimages.macys.com/is/image/MCY/15907629 ")</f>
        <v xml:space="preserve">http://slimages.macys.com/is/image/MCY/15907629 </v>
      </c>
      <c r="N70" s="30"/>
    </row>
    <row r="71" spans="1:14" ht="96" x14ac:dyDescent="0.25">
      <c r="A71" s="19" t="s">
        <v>6863</v>
      </c>
      <c r="B71" s="17" t="s">
        <v>6862</v>
      </c>
      <c r="C71" s="20">
        <v>1</v>
      </c>
      <c r="D71" s="18">
        <v>119</v>
      </c>
      <c r="E71" s="20">
        <v>7099368</v>
      </c>
      <c r="F71" s="17" t="s">
        <v>58</v>
      </c>
      <c r="G71" s="19" t="s">
        <v>694</v>
      </c>
      <c r="H71" s="18">
        <v>25.386666666666667</v>
      </c>
      <c r="I71" s="17" t="s">
        <v>111</v>
      </c>
      <c r="J71" s="17" t="s">
        <v>110</v>
      </c>
      <c r="K71" s="17" t="s">
        <v>389</v>
      </c>
      <c r="L71" s="17" t="s">
        <v>6861</v>
      </c>
      <c r="M71" s="16" t="str">
        <f>HYPERLINK("http://slimages.macys.com/is/image/MCY/15907629 ")</f>
        <v xml:space="preserve">http://slimages.macys.com/is/image/MCY/15907629 </v>
      </c>
      <c r="N71" s="30"/>
    </row>
    <row r="72" spans="1:14" ht="60" x14ac:dyDescent="0.25">
      <c r="A72" s="19" t="s">
        <v>6034</v>
      </c>
      <c r="B72" s="17" t="s">
        <v>6033</v>
      </c>
      <c r="C72" s="20">
        <v>1</v>
      </c>
      <c r="D72" s="18">
        <v>89.99</v>
      </c>
      <c r="E72" s="20" t="s">
        <v>2153</v>
      </c>
      <c r="F72" s="17" t="s">
        <v>58</v>
      </c>
      <c r="G72" s="19" t="s">
        <v>419</v>
      </c>
      <c r="H72" s="18">
        <v>25.38</v>
      </c>
      <c r="I72" s="17" t="s">
        <v>42</v>
      </c>
      <c r="J72" s="17" t="s">
        <v>41</v>
      </c>
      <c r="K72" s="17"/>
      <c r="L72" s="17"/>
      <c r="M72" s="16" t="str">
        <f>HYPERLINK("http://slimages.macys.com/is/image/MCY/16374379 ")</f>
        <v xml:space="preserve">http://slimages.macys.com/is/image/MCY/16374379 </v>
      </c>
      <c r="N72" s="30"/>
    </row>
    <row r="73" spans="1:14" ht="60" x14ac:dyDescent="0.25">
      <c r="A73" s="19" t="s">
        <v>2155</v>
      </c>
      <c r="B73" s="17" t="s">
        <v>2154</v>
      </c>
      <c r="C73" s="20">
        <v>16</v>
      </c>
      <c r="D73" s="18">
        <v>89.99</v>
      </c>
      <c r="E73" s="20" t="s">
        <v>2153</v>
      </c>
      <c r="F73" s="17" t="s">
        <v>58</v>
      </c>
      <c r="G73" s="19"/>
      <c r="H73" s="18">
        <v>25.38</v>
      </c>
      <c r="I73" s="17" t="s">
        <v>42</v>
      </c>
      <c r="J73" s="17" t="s">
        <v>41</v>
      </c>
      <c r="K73" s="17"/>
      <c r="L73" s="17"/>
      <c r="M73" s="16" t="str">
        <f>HYPERLINK("http://slimages.macys.com/is/image/MCY/16374379 ")</f>
        <v xml:space="preserve">http://slimages.macys.com/is/image/MCY/16374379 </v>
      </c>
      <c r="N73" s="30"/>
    </row>
    <row r="74" spans="1:14" ht="60" x14ac:dyDescent="0.25">
      <c r="A74" s="19" t="s">
        <v>6860</v>
      </c>
      <c r="B74" s="17" t="s">
        <v>6859</v>
      </c>
      <c r="C74" s="20">
        <v>1</v>
      </c>
      <c r="D74" s="18">
        <v>139</v>
      </c>
      <c r="E74" s="20" t="s">
        <v>6858</v>
      </c>
      <c r="F74" s="17" t="s">
        <v>28</v>
      </c>
      <c r="G74" s="19" t="s">
        <v>6857</v>
      </c>
      <c r="H74" s="18">
        <v>25.333333333333332</v>
      </c>
      <c r="I74" s="17" t="s">
        <v>115</v>
      </c>
      <c r="J74" s="17" t="s">
        <v>2130</v>
      </c>
      <c r="K74" s="17"/>
      <c r="L74" s="17"/>
      <c r="M74" s="16" t="str">
        <f>HYPERLINK("http://slimages.macys.com/is/image/MCY/19651849 ")</f>
        <v xml:space="preserve">http://slimages.macys.com/is/image/MCY/19651849 </v>
      </c>
      <c r="N74" s="30"/>
    </row>
    <row r="75" spans="1:14" ht="60" x14ac:dyDescent="0.25">
      <c r="A75" s="19" t="s">
        <v>6856</v>
      </c>
      <c r="B75" s="17" t="s">
        <v>6855</v>
      </c>
      <c r="C75" s="20">
        <v>1</v>
      </c>
      <c r="D75" s="18">
        <v>149.5</v>
      </c>
      <c r="E75" s="20" t="s">
        <v>6854</v>
      </c>
      <c r="F75" s="17" t="s">
        <v>51</v>
      </c>
      <c r="G75" s="19" t="s">
        <v>57</v>
      </c>
      <c r="H75" s="18">
        <v>24.92</v>
      </c>
      <c r="I75" s="17" t="s">
        <v>68</v>
      </c>
      <c r="J75" s="17" t="s">
        <v>67</v>
      </c>
      <c r="K75" s="17"/>
      <c r="L75" s="17"/>
      <c r="M75" s="16" t="str">
        <f>HYPERLINK("http://slimages.macys.com/is/image/MCY/18220558 ")</f>
        <v xml:space="preserve">http://slimages.macys.com/is/image/MCY/18220558 </v>
      </c>
      <c r="N75" s="30"/>
    </row>
    <row r="76" spans="1:14" ht="60" x14ac:dyDescent="0.25">
      <c r="A76" s="19" t="s">
        <v>6853</v>
      </c>
      <c r="B76" s="17" t="s">
        <v>6852</v>
      </c>
      <c r="C76" s="20">
        <v>1</v>
      </c>
      <c r="D76" s="18">
        <v>119</v>
      </c>
      <c r="E76" s="20">
        <v>10758368</v>
      </c>
      <c r="F76" s="17" t="s">
        <v>23</v>
      </c>
      <c r="G76" s="19" t="s">
        <v>658</v>
      </c>
      <c r="H76" s="18">
        <v>24.593333333333334</v>
      </c>
      <c r="I76" s="17" t="s">
        <v>144</v>
      </c>
      <c r="J76" s="17" t="s">
        <v>143</v>
      </c>
      <c r="K76" s="17"/>
      <c r="L76" s="17"/>
      <c r="M76" s="16" t="str">
        <f>HYPERLINK("http://slimages.macys.com/is/image/MCY/18301568 ")</f>
        <v xml:space="preserve">http://slimages.macys.com/is/image/MCY/18301568 </v>
      </c>
      <c r="N76" s="30"/>
    </row>
    <row r="77" spans="1:14" ht="60" x14ac:dyDescent="0.25">
      <c r="A77" s="19" t="s">
        <v>6851</v>
      </c>
      <c r="B77" s="17" t="s">
        <v>6850</v>
      </c>
      <c r="C77" s="20">
        <v>1</v>
      </c>
      <c r="D77" s="18">
        <v>80</v>
      </c>
      <c r="E77" s="20" t="s">
        <v>6849</v>
      </c>
      <c r="F77" s="17" t="s">
        <v>23</v>
      </c>
      <c r="G77" s="19" t="s">
        <v>69</v>
      </c>
      <c r="H77" s="18">
        <v>24</v>
      </c>
      <c r="I77" s="17" t="s">
        <v>133</v>
      </c>
      <c r="J77" s="17" t="s">
        <v>1437</v>
      </c>
      <c r="K77" s="17"/>
      <c r="L77" s="17"/>
      <c r="M77" s="16" t="str">
        <f>HYPERLINK("http://slimages.macys.com/is/image/MCY/18919118 ")</f>
        <v xml:space="preserve">http://slimages.macys.com/is/image/MCY/18919118 </v>
      </c>
      <c r="N77" s="30"/>
    </row>
    <row r="78" spans="1:14" ht="60" x14ac:dyDescent="0.25">
      <c r="A78" s="19" t="s">
        <v>6848</v>
      </c>
      <c r="B78" s="17" t="s">
        <v>6847</v>
      </c>
      <c r="C78" s="20">
        <v>1</v>
      </c>
      <c r="D78" s="18">
        <v>119.99</v>
      </c>
      <c r="E78" s="20">
        <v>50039329</v>
      </c>
      <c r="F78" s="17" t="s">
        <v>544</v>
      </c>
      <c r="G78" s="19" t="s">
        <v>1292</v>
      </c>
      <c r="H78" s="18">
        <v>24</v>
      </c>
      <c r="I78" s="17" t="s">
        <v>879</v>
      </c>
      <c r="J78" s="17" t="s">
        <v>850</v>
      </c>
      <c r="K78" s="17"/>
      <c r="L78" s="17"/>
      <c r="M78" s="16" t="str">
        <f>HYPERLINK("http://slimages.macys.com/is/image/MCY/16862342 ")</f>
        <v xml:space="preserve">http://slimages.macys.com/is/image/MCY/16862342 </v>
      </c>
      <c r="N78" s="30"/>
    </row>
    <row r="79" spans="1:14" ht="60" x14ac:dyDescent="0.25">
      <c r="A79" s="19" t="s">
        <v>6846</v>
      </c>
      <c r="B79" s="17" t="s">
        <v>6845</v>
      </c>
      <c r="C79" s="20">
        <v>1</v>
      </c>
      <c r="D79" s="18">
        <v>108</v>
      </c>
      <c r="E79" s="20" t="s">
        <v>3980</v>
      </c>
      <c r="F79" s="17" t="s">
        <v>345</v>
      </c>
      <c r="G79" s="19" t="s">
        <v>50</v>
      </c>
      <c r="H79" s="18">
        <v>23.833333333333336</v>
      </c>
      <c r="I79" s="17" t="s">
        <v>49</v>
      </c>
      <c r="J79" s="17" t="s">
        <v>48</v>
      </c>
      <c r="K79" s="17"/>
      <c r="L79" s="17"/>
      <c r="M79" s="16" t="str">
        <f>HYPERLINK("http://slimages.macys.com/is/image/MCY/19352573 ")</f>
        <v xml:space="preserve">http://slimages.macys.com/is/image/MCY/19352573 </v>
      </c>
      <c r="N79" s="30"/>
    </row>
    <row r="80" spans="1:14" ht="60" x14ac:dyDescent="0.25">
      <c r="A80" s="19" t="s">
        <v>6844</v>
      </c>
      <c r="B80" s="17" t="s">
        <v>6843</v>
      </c>
      <c r="C80" s="20">
        <v>1</v>
      </c>
      <c r="D80" s="18">
        <v>108</v>
      </c>
      <c r="E80" s="20" t="s">
        <v>6842</v>
      </c>
      <c r="F80" s="17" t="s">
        <v>58</v>
      </c>
      <c r="G80" s="19" t="s">
        <v>22</v>
      </c>
      <c r="H80" s="18">
        <v>23.833333333333336</v>
      </c>
      <c r="I80" s="17" t="s">
        <v>49</v>
      </c>
      <c r="J80" s="17" t="s">
        <v>48</v>
      </c>
      <c r="K80" s="17"/>
      <c r="L80" s="17"/>
      <c r="M80" s="16" t="str">
        <f>HYPERLINK("http://slimages.macys.com/is/image/MCY/19358661 ")</f>
        <v xml:space="preserve">http://slimages.macys.com/is/image/MCY/19358661 </v>
      </c>
      <c r="N80" s="30"/>
    </row>
    <row r="81" spans="1:14" ht="60" x14ac:dyDescent="0.25">
      <c r="A81" s="19" t="s">
        <v>5279</v>
      </c>
      <c r="B81" s="17" t="s">
        <v>5278</v>
      </c>
      <c r="C81" s="20">
        <v>1</v>
      </c>
      <c r="D81" s="18">
        <v>108</v>
      </c>
      <c r="E81" s="20" t="s">
        <v>5277</v>
      </c>
      <c r="F81" s="17" t="s">
        <v>575</v>
      </c>
      <c r="G81" s="19" t="s">
        <v>17</v>
      </c>
      <c r="H81" s="18">
        <v>23.833333333333336</v>
      </c>
      <c r="I81" s="17" t="s">
        <v>49</v>
      </c>
      <c r="J81" s="17" t="s">
        <v>48</v>
      </c>
      <c r="K81" s="17"/>
      <c r="L81" s="17"/>
      <c r="M81" s="16" t="str">
        <f>HYPERLINK("http://slimages.macys.com/is/image/MCY/19635015 ")</f>
        <v xml:space="preserve">http://slimages.macys.com/is/image/MCY/19635015 </v>
      </c>
      <c r="N81" s="30"/>
    </row>
    <row r="82" spans="1:14" ht="60" x14ac:dyDescent="0.25">
      <c r="A82" s="19" t="s">
        <v>6841</v>
      </c>
      <c r="B82" s="17" t="s">
        <v>6840</v>
      </c>
      <c r="C82" s="20">
        <v>1</v>
      </c>
      <c r="D82" s="18">
        <v>108</v>
      </c>
      <c r="E82" s="20" t="s">
        <v>717</v>
      </c>
      <c r="F82" s="17" t="s">
        <v>716</v>
      </c>
      <c r="G82" s="19" t="s">
        <v>17</v>
      </c>
      <c r="H82" s="18">
        <v>23.833333333333336</v>
      </c>
      <c r="I82" s="17" t="s">
        <v>49</v>
      </c>
      <c r="J82" s="17" t="s">
        <v>48</v>
      </c>
      <c r="K82" s="17"/>
      <c r="L82" s="17"/>
      <c r="M82" s="16" t="str">
        <f>HYPERLINK("http://slimages.macys.com/is/image/MCY/18990338 ")</f>
        <v xml:space="preserve">http://slimages.macys.com/is/image/MCY/18990338 </v>
      </c>
      <c r="N82" s="30"/>
    </row>
    <row r="83" spans="1:14" ht="60" x14ac:dyDescent="0.25">
      <c r="A83" s="19" t="s">
        <v>6839</v>
      </c>
      <c r="B83" s="17" t="s">
        <v>6838</v>
      </c>
      <c r="C83" s="20">
        <v>1</v>
      </c>
      <c r="D83" s="18">
        <v>108</v>
      </c>
      <c r="E83" s="20" t="s">
        <v>2937</v>
      </c>
      <c r="F83" s="17" t="s">
        <v>2284</v>
      </c>
      <c r="G83" s="19" t="s">
        <v>6837</v>
      </c>
      <c r="H83" s="18">
        <v>23.833333333333336</v>
      </c>
      <c r="I83" s="17" t="s">
        <v>49</v>
      </c>
      <c r="J83" s="17" t="s">
        <v>48</v>
      </c>
      <c r="K83" s="17"/>
      <c r="L83" s="17"/>
      <c r="M83" s="16" t="str">
        <f>HYPERLINK("http://slimages.macys.com/is/image/MCY/19410930 ")</f>
        <v xml:space="preserve">http://slimages.macys.com/is/image/MCY/19410930 </v>
      </c>
      <c r="N83" s="30"/>
    </row>
    <row r="84" spans="1:14" ht="60" x14ac:dyDescent="0.25">
      <c r="A84" s="19" t="s">
        <v>6836</v>
      </c>
      <c r="B84" s="17" t="s">
        <v>6835</v>
      </c>
      <c r="C84" s="20">
        <v>1</v>
      </c>
      <c r="D84" s="18">
        <v>129</v>
      </c>
      <c r="E84" s="20" t="s">
        <v>6834</v>
      </c>
      <c r="F84" s="17" t="s">
        <v>1408</v>
      </c>
      <c r="G84" s="19" t="s">
        <v>74</v>
      </c>
      <c r="H84" s="18">
        <v>23.82</v>
      </c>
      <c r="I84" s="17" t="s">
        <v>405</v>
      </c>
      <c r="J84" s="17" t="s">
        <v>404</v>
      </c>
      <c r="K84" s="17"/>
      <c r="L84" s="17"/>
      <c r="M84" s="16" t="str">
        <f>HYPERLINK("http://slimages.macys.com/is/image/MCY/19026087 ")</f>
        <v xml:space="preserve">http://slimages.macys.com/is/image/MCY/19026087 </v>
      </c>
      <c r="N84" s="30"/>
    </row>
    <row r="85" spans="1:14" ht="60" x14ac:dyDescent="0.25">
      <c r="A85" s="19" t="s">
        <v>6833</v>
      </c>
      <c r="B85" s="17" t="s">
        <v>6832</v>
      </c>
      <c r="C85" s="20">
        <v>1</v>
      </c>
      <c r="D85" s="18">
        <v>119</v>
      </c>
      <c r="E85" s="20" t="s">
        <v>2925</v>
      </c>
      <c r="F85" s="17" t="s">
        <v>58</v>
      </c>
      <c r="G85" s="19" t="s">
        <v>96</v>
      </c>
      <c r="H85" s="18">
        <v>23.8</v>
      </c>
      <c r="I85" s="17" t="s">
        <v>678</v>
      </c>
      <c r="J85" s="17" t="s">
        <v>404</v>
      </c>
      <c r="K85" s="17"/>
      <c r="L85" s="17"/>
      <c r="M85" s="16" t="str">
        <f>HYPERLINK("http://slimages.macys.com/is/image/MCY/19101028 ")</f>
        <v xml:space="preserve">http://slimages.macys.com/is/image/MCY/19101028 </v>
      </c>
      <c r="N85" s="30"/>
    </row>
    <row r="86" spans="1:14" ht="60" x14ac:dyDescent="0.25">
      <c r="A86" s="19" t="s">
        <v>6831</v>
      </c>
      <c r="B86" s="17" t="s">
        <v>6830</v>
      </c>
      <c r="C86" s="20">
        <v>1</v>
      </c>
      <c r="D86" s="18">
        <v>129</v>
      </c>
      <c r="E86" s="20">
        <v>8169947</v>
      </c>
      <c r="F86" s="17" t="s">
        <v>91</v>
      </c>
      <c r="G86" s="19" t="s">
        <v>17</v>
      </c>
      <c r="H86" s="18">
        <v>23.653333333333336</v>
      </c>
      <c r="I86" s="17" t="s">
        <v>129</v>
      </c>
      <c r="J86" s="17" t="s">
        <v>128</v>
      </c>
      <c r="K86" s="17" t="s">
        <v>389</v>
      </c>
      <c r="L86" s="17" t="s">
        <v>4777</v>
      </c>
      <c r="M86" s="16" t="str">
        <f>HYPERLINK("http://slimages.macys.com/is/image/MCY/16473327 ")</f>
        <v xml:space="preserve">http://slimages.macys.com/is/image/MCY/16473327 </v>
      </c>
      <c r="N86" s="30"/>
    </row>
    <row r="87" spans="1:14" ht="60" x14ac:dyDescent="0.25">
      <c r="A87" s="19" t="s">
        <v>6829</v>
      </c>
      <c r="B87" s="17" t="s">
        <v>6828</v>
      </c>
      <c r="C87" s="20">
        <v>1</v>
      </c>
      <c r="D87" s="18">
        <v>118</v>
      </c>
      <c r="E87" s="20" t="s">
        <v>6827</v>
      </c>
      <c r="F87" s="17" t="s">
        <v>282</v>
      </c>
      <c r="G87" s="19" t="s">
        <v>749</v>
      </c>
      <c r="H87" s="18">
        <v>23.6</v>
      </c>
      <c r="I87" s="17" t="s">
        <v>115</v>
      </c>
      <c r="J87" s="17" t="s">
        <v>748</v>
      </c>
      <c r="K87" s="17"/>
      <c r="L87" s="17"/>
      <c r="M87" s="16" t="str">
        <f>HYPERLINK("http://slimages.macys.com/is/image/MCY/19070606 ")</f>
        <v xml:space="preserve">http://slimages.macys.com/is/image/MCY/19070606 </v>
      </c>
      <c r="N87" s="30"/>
    </row>
    <row r="88" spans="1:14" ht="60" x14ac:dyDescent="0.25">
      <c r="A88" s="19" t="s">
        <v>6826</v>
      </c>
      <c r="B88" s="17" t="s">
        <v>6825</v>
      </c>
      <c r="C88" s="20">
        <v>1</v>
      </c>
      <c r="D88" s="18">
        <v>108</v>
      </c>
      <c r="E88" s="20" t="s">
        <v>6824</v>
      </c>
      <c r="F88" s="17" t="s">
        <v>23</v>
      </c>
      <c r="G88" s="19" t="s">
        <v>62</v>
      </c>
      <c r="H88" s="18">
        <v>23.053333333333335</v>
      </c>
      <c r="I88" s="17" t="s">
        <v>49</v>
      </c>
      <c r="J88" s="17" t="s">
        <v>48</v>
      </c>
      <c r="K88" s="17"/>
      <c r="L88" s="17"/>
      <c r="M88" s="16" t="str">
        <f>HYPERLINK("http://slimages.macys.com/is/image/MCY/17597552 ")</f>
        <v xml:space="preserve">http://slimages.macys.com/is/image/MCY/17597552 </v>
      </c>
      <c r="N88" s="30"/>
    </row>
    <row r="89" spans="1:14" ht="60" x14ac:dyDescent="0.25">
      <c r="A89" s="19" t="s">
        <v>6823</v>
      </c>
      <c r="B89" s="17" t="s">
        <v>6822</v>
      </c>
      <c r="C89" s="20">
        <v>1</v>
      </c>
      <c r="D89" s="18">
        <v>119</v>
      </c>
      <c r="E89" s="20" t="s">
        <v>6819</v>
      </c>
      <c r="F89" s="17" t="s">
        <v>51</v>
      </c>
      <c r="G89" s="19" t="s">
        <v>1368</v>
      </c>
      <c r="H89" s="18">
        <v>22</v>
      </c>
      <c r="I89" s="17" t="s">
        <v>115</v>
      </c>
      <c r="J89" s="17" t="s">
        <v>2130</v>
      </c>
      <c r="K89" s="17"/>
      <c r="L89" s="17"/>
      <c r="M89" s="16" t="str">
        <f>HYPERLINK("http://slimages.macys.com/is/image/MCY/19651844 ")</f>
        <v xml:space="preserve">http://slimages.macys.com/is/image/MCY/19651844 </v>
      </c>
      <c r="N89" s="30"/>
    </row>
    <row r="90" spans="1:14" ht="60" x14ac:dyDescent="0.25">
      <c r="A90" s="19" t="s">
        <v>6821</v>
      </c>
      <c r="B90" s="17" t="s">
        <v>6820</v>
      </c>
      <c r="C90" s="20">
        <v>1</v>
      </c>
      <c r="D90" s="18">
        <v>119</v>
      </c>
      <c r="E90" s="20" t="s">
        <v>6819</v>
      </c>
      <c r="F90" s="17" t="s">
        <v>51</v>
      </c>
      <c r="G90" s="19" t="s">
        <v>6704</v>
      </c>
      <c r="H90" s="18">
        <v>22</v>
      </c>
      <c r="I90" s="17" t="s">
        <v>115</v>
      </c>
      <c r="J90" s="17" t="s">
        <v>2130</v>
      </c>
      <c r="K90" s="17"/>
      <c r="L90" s="17"/>
      <c r="M90" s="16" t="str">
        <f>HYPERLINK("http://slimages.macys.com/is/image/MCY/19651844 ")</f>
        <v xml:space="preserve">http://slimages.macys.com/is/image/MCY/19651844 </v>
      </c>
      <c r="N90" s="30"/>
    </row>
    <row r="91" spans="1:14" ht="60" x14ac:dyDescent="0.25">
      <c r="A91" s="19" t="s">
        <v>3955</v>
      </c>
      <c r="B91" s="17" t="s">
        <v>3954</v>
      </c>
      <c r="C91" s="20">
        <v>1</v>
      </c>
      <c r="D91" s="18">
        <v>109</v>
      </c>
      <c r="E91" s="20">
        <v>10807724</v>
      </c>
      <c r="F91" s="17" t="s">
        <v>282</v>
      </c>
      <c r="G91" s="19" t="s">
        <v>351</v>
      </c>
      <c r="H91" s="18">
        <v>21.8</v>
      </c>
      <c r="I91" s="17" t="s">
        <v>358</v>
      </c>
      <c r="J91" s="17" t="s">
        <v>554</v>
      </c>
      <c r="K91" s="17"/>
      <c r="L91" s="17"/>
      <c r="M91" s="16" t="str">
        <f>HYPERLINK("http://slimages.macys.com/is/image/MCY/19205622 ")</f>
        <v xml:space="preserve">http://slimages.macys.com/is/image/MCY/19205622 </v>
      </c>
      <c r="N91" s="30"/>
    </row>
    <row r="92" spans="1:14" ht="60" x14ac:dyDescent="0.25">
      <c r="A92" s="19" t="s">
        <v>6818</v>
      </c>
      <c r="B92" s="17" t="s">
        <v>6817</v>
      </c>
      <c r="C92" s="20">
        <v>1</v>
      </c>
      <c r="D92" s="18">
        <v>98</v>
      </c>
      <c r="E92" s="20" t="s">
        <v>2903</v>
      </c>
      <c r="F92" s="17" t="s">
        <v>345</v>
      </c>
      <c r="G92" s="19" t="s">
        <v>62</v>
      </c>
      <c r="H92" s="18">
        <v>21.626666666666669</v>
      </c>
      <c r="I92" s="17" t="s">
        <v>49</v>
      </c>
      <c r="J92" s="17" t="s">
        <v>48</v>
      </c>
      <c r="K92" s="17"/>
      <c r="L92" s="17"/>
      <c r="M92" s="16" t="str">
        <f>HYPERLINK("http://slimages.macys.com/is/image/MCY/19350207 ")</f>
        <v xml:space="preserve">http://slimages.macys.com/is/image/MCY/19350207 </v>
      </c>
      <c r="N92" s="30"/>
    </row>
    <row r="93" spans="1:14" ht="60" x14ac:dyDescent="0.25">
      <c r="A93" s="19" t="s">
        <v>4681</v>
      </c>
      <c r="B93" s="17" t="s">
        <v>4680</v>
      </c>
      <c r="C93" s="20">
        <v>1</v>
      </c>
      <c r="D93" s="18">
        <v>98</v>
      </c>
      <c r="E93" s="20" t="s">
        <v>4679</v>
      </c>
      <c r="F93" s="17" t="s">
        <v>345</v>
      </c>
      <c r="G93" s="19" t="s">
        <v>101</v>
      </c>
      <c r="H93" s="18">
        <v>21.626666666666669</v>
      </c>
      <c r="I93" s="17" t="s">
        <v>49</v>
      </c>
      <c r="J93" s="17" t="s">
        <v>48</v>
      </c>
      <c r="K93" s="17"/>
      <c r="L93" s="17"/>
      <c r="M93" s="16" t="str">
        <f>HYPERLINK("http://slimages.macys.com/is/image/MCY/19410997 ")</f>
        <v xml:space="preserve">http://slimages.macys.com/is/image/MCY/19410997 </v>
      </c>
      <c r="N93" s="30"/>
    </row>
    <row r="94" spans="1:14" ht="60" x14ac:dyDescent="0.25">
      <c r="A94" s="19" t="s">
        <v>6816</v>
      </c>
      <c r="B94" s="17" t="s">
        <v>6815</v>
      </c>
      <c r="C94" s="20">
        <v>1</v>
      </c>
      <c r="D94" s="18">
        <v>98</v>
      </c>
      <c r="E94" s="20" t="s">
        <v>6814</v>
      </c>
      <c r="F94" s="17" t="s">
        <v>535</v>
      </c>
      <c r="G94" s="19"/>
      <c r="H94" s="18">
        <v>21.626666666666669</v>
      </c>
      <c r="I94" s="17" t="s">
        <v>49</v>
      </c>
      <c r="J94" s="17" t="s">
        <v>48</v>
      </c>
      <c r="K94" s="17"/>
      <c r="L94" s="17"/>
      <c r="M94" s="16" t="str">
        <f>HYPERLINK("http://slimages.macys.com/is/image/MCY/19623003 ")</f>
        <v xml:space="preserve">http://slimages.macys.com/is/image/MCY/19623003 </v>
      </c>
      <c r="N94" s="30"/>
    </row>
    <row r="95" spans="1:14" ht="60" x14ac:dyDescent="0.25">
      <c r="A95" s="19" t="s">
        <v>6813</v>
      </c>
      <c r="B95" s="17" t="s">
        <v>6812</v>
      </c>
      <c r="C95" s="20">
        <v>1</v>
      </c>
      <c r="D95" s="18">
        <v>98</v>
      </c>
      <c r="E95" s="20" t="s">
        <v>665</v>
      </c>
      <c r="F95" s="17" t="s">
        <v>51</v>
      </c>
      <c r="G95" s="19" t="s">
        <v>50</v>
      </c>
      <c r="H95" s="18">
        <v>21.626666666666669</v>
      </c>
      <c r="I95" s="17" t="s">
        <v>49</v>
      </c>
      <c r="J95" s="17" t="s">
        <v>48</v>
      </c>
      <c r="K95" s="17"/>
      <c r="L95" s="17"/>
      <c r="M95" s="16" t="str">
        <f>HYPERLINK("http://slimages.macys.com/is/image/MCY/16691834 ")</f>
        <v xml:space="preserve">http://slimages.macys.com/is/image/MCY/16691834 </v>
      </c>
      <c r="N95" s="30"/>
    </row>
    <row r="96" spans="1:14" ht="60" x14ac:dyDescent="0.25">
      <c r="A96" s="19" t="s">
        <v>6811</v>
      </c>
      <c r="B96" s="17" t="s">
        <v>6810</v>
      </c>
      <c r="C96" s="20">
        <v>1</v>
      </c>
      <c r="D96" s="18">
        <v>98</v>
      </c>
      <c r="E96" s="20" t="s">
        <v>2903</v>
      </c>
      <c r="F96" s="17" t="s">
        <v>345</v>
      </c>
      <c r="G96" s="19" t="s">
        <v>17</v>
      </c>
      <c r="H96" s="18">
        <v>21.626666666666669</v>
      </c>
      <c r="I96" s="17" t="s">
        <v>49</v>
      </c>
      <c r="J96" s="17" t="s">
        <v>48</v>
      </c>
      <c r="K96" s="17"/>
      <c r="L96" s="17"/>
      <c r="M96" s="16" t="str">
        <f>HYPERLINK("http://slimages.macys.com/is/image/MCY/19350207 ")</f>
        <v xml:space="preserve">http://slimages.macys.com/is/image/MCY/19350207 </v>
      </c>
      <c r="N96" s="30"/>
    </row>
    <row r="97" spans="1:14" ht="60" x14ac:dyDescent="0.25">
      <c r="A97" s="19" t="s">
        <v>6809</v>
      </c>
      <c r="B97" s="17" t="s">
        <v>6808</v>
      </c>
      <c r="C97" s="20">
        <v>1</v>
      </c>
      <c r="D97" s="18">
        <v>98</v>
      </c>
      <c r="E97" s="20" t="s">
        <v>2097</v>
      </c>
      <c r="F97" s="17" t="s">
        <v>58</v>
      </c>
      <c r="G97" s="19"/>
      <c r="H97" s="18">
        <v>21.626666666666669</v>
      </c>
      <c r="I97" s="17" t="s">
        <v>49</v>
      </c>
      <c r="J97" s="17" t="s">
        <v>48</v>
      </c>
      <c r="K97" s="17"/>
      <c r="L97" s="17"/>
      <c r="M97" s="16" t="str">
        <f>HYPERLINK("http://slimages.macys.com/is/image/MCY/19177563 ")</f>
        <v xml:space="preserve">http://slimages.macys.com/is/image/MCY/19177563 </v>
      </c>
      <c r="N97" s="30"/>
    </row>
    <row r="98" spans="1:14" ht="60" x14ac:dyDescent="0.25">
      <c r="A98" s="19" t="s">
        <v>6807</v>
      </c>
      <c r="B98" s="17" t="s">
        <v>6806</v>
      </c>
      <c r="C98" s="20">
        <v>1</v>
      </c>
      <c r="D98" s="18">
        <v>98</v>
      </c>
      <c r="E98" s="20" t="s">
        <v>3938</v>
      </c>
      <c r="F98" s="17" t="s">
        <v>58</v>
      </c>
      <c r="G98" s="19" t="s">
        <v>50</v>
      </c>
      <c r="H98" s="18">
        <v>21.626666666666669</v>
      </c>
      <c r="I98" s="17" t="s">
        <v>49</v>
      </c>
      <c r="J98" s="17" t="s">
        <v>48</v>
      </c>
      <c r="K98" s="17" t="s">
        <v>389</v>
      </c>
      <c r="L98" s="17" t="s">
        <v>3937</v>
      </c>
      <c r="M98" s="16" t="str">
        <f>HYPERLINK("http://slimages.macys.com/is/image/MCY/18753883 ")</f>
        <v xml:space="preserve">http://slimages.macys.com/is/image/MCY/18753883 </v>
      </c>
      <c r="N98" s="30"/>
    </row>
    <row r="99" spans="1:14" ht="96" x14ac:dyDescent="0.25">
      <c r="A99" s="19" t="s">
        <v>6805</v>
      </c>
      <c r="B99" s="17" t="s">
        <v>6804</v>
      </c>
      <c r="C99" s="20">
        <v>1</v>
      </c>
      <c r="D99" s="18">
        <v>129</v>
      </c>
      <c r="E99" s="20" t="s">
        <v>679</v>
      </c>
      <c r="F99" s="17" t="s">
        <v>51</v>
      </c>
      <c r="G99" s="19" t="s">
        <v>898</v>
      </c>
      <c r="H99" s="18">
        <v>21.5</v>
      </c>
      <c r="I99" s="17" t="s">
        <v>678</v>
      </c>
      <c r="J99" s="17" t="s">
        <v>404</v>
      </c>
      <c r="K99" s="17" t="s">
        <v>389</v>
      </c>
      <c r="L99" s="17" t="s">
        <v>668</v>
      </c>
      <c r="M99" s="16" t="str">
        <f>HYPERLINK("http://slimages.macys.com/is/image/MCY/19377139 ")</f>
        <v xml:space="preserve">http://slimages.macys.com/is/image/MCY/19377139 </v>
      </c>
      <c r="N99" s="30"/>
    </row>
    <row r="100" spans="1:14" ht="60" x14ac:dyDescent="0.25">
      <c r="A100" s="19" t="s">
        <v>6803</v>
      </c>
      <c r="B100" s="17" t="s">
        <v>6802</v>
      </c>
      <c r="C100" s="20">
        <v>1</v>
      </c>
      <c r="D100" s="18">
        <v>115</v>
      </c>
      <c r="E100" s="20" t="s">
        <v>6801</v>
      </c>
      <c r="F100" s="17" t="s">
        <v>23</v>
      </c>
      <c r="G100" s="19" t="s">
        <v>74</v>
      </c>
      <c r="H100" s="18">
        <v>21.240000000000002</v>
      </c>
      <c r="I100" s="17" t="s">
        <v>405</v>
      </c>
      <c r="J100" s="17" t="s">
        <v>404</v>
      </c>
      <c r="K100" s="17"/>
      <c r="L100" s="17"/>
      <c r="M100" s="16" t="str">
        <f>HYPERLINK("http://slimages.macys.com/is/image/MCY/18867897 ")</f>
        <v xml:space="preserve">http://slimages.macys.com/is/image/MCY/18867897 </v>
      </c>
      <c r="N100" s="30"/>
    </row>
    <row r="101" spans="1:14" ht="96" x14ac:dyDescent="0.25">
      <c r="A101" s="19" t="s">
        <v>6800</v>
      </c>
      <c r="B101" s="17" t="s">
        <v>6799</v>
      </c>
      <c r="C101" s="20">
        <v>1</v>
      </c>
      <c r="D101" s="18">
        <v>89.98</v>
      </c>
      <c r="E101" s="20" t="s">
        <v>6798</v>
      </c>
      <c r="F101" s="17" t="s">
        <v>164</v>
      </c>
      <c r="G101" s="19" t="s">
        <v>669</v>
      </c>
      <c r="H101" s="18">
        <v>20.993333333333336</v>
      </c>
      <c r="I101" s="17" t="s">
        <v>33</v>
      </c>
      <c r="J101" s="17" t="s">
        <v>32</v>
      </c>
      <c r="K101" s="17" t="s">
        <v>389</v>
      </c>
      <c r="L101" s="17" t="s">
        <v>668</v>
      </c>
      <c r="M101" s="16" t="str">
        <f>HYPERLINK("http://slimages.macys.com/is/image/MCY/11137226 ")</f>
        <v xml:space="preserve">http://slimages.macys.com/is/image/MCY/11137226 </v>
      </c>
      <c r="N101" s="30"/>
    </row>
    <row r="102" spans="1:14" ht="60" x14ac:dyDescent="0.25">
      <c r="A102" s="19" t="s">
        <v>6797</v>
      </c>
      <c r="B102" s="17" t="s">
        <v>6796</v>
      </c>
      <c r="C102" s="20">
        <v>1</v>
      </c>
      <c r="D102" s="18">
        <v>98</v>
      </c>
      <c r="E102" s="20" t="s">
        <v>2104</v>
      </c>
      <c r="F102" s="17" t="s">
        <v>1382</v>
      </c>
      <c r="G102" s="19" t="s">
        <v>62</v>
      </c>
      <c r="H102" s="18">
        <v>20.90666666666667</v>
      </c>
      <c r="I102" s="17" t="s">
        <v>49</v>
      </c>
      <c r="J102" s="17" t="s">
        <v>48</v>
      </c>
      <c r="K102" s="17"/>
      <c r="L102" s="17"/>
      <c r="M102" s="16" t="str">
        <f>HYPERLINK("http://slimages.macys.com/is/image/MCY/18610731 ")</f>
        <v xml:space="preserve">http://slimages.macys.com/is/image/MCY/18610731 </v>
      </c>
      <c r="N102" s="30"/>
    </row>
    <row r="103" spans="1:14" ht="60" x14ac:dyDescent="0.25">
      <c r="A103" s="19" t="s">
        <v>6795</v>
      </c>
      <c r="B103" s="17" t="s">
        <v>6794</v>
      </c>
      <c r="C103" s="20">
        <v>1</v>
      </c>
      <c r="D103" s="18">
        <v>74.25</v>
      </c>
      <c r="E103" s="20">
        <v>10803166</v>
      </c>
      <c r="F103" s="17" t="s">
        <v>1356</v>
      </c>
      <c r="G103" s="19" t="s">
        <v>139</v>
      </c>
      <c r="H103" s="18">
        <v>20.793333333333337</v>
      </c>
      <c r="I103" s="17" t="s">
        <v>358</v>
      </c>
      <c r="J103" s="17" t="s">
        <v>143</v>
      </c>
      <c r="K103" s="17"/>
      <c r="L103" s="17"/>
      <c r="M103" s="16" t="str">
        <f>HYPERLINK("http://slimages.macys.com/is/image/MCY/19286673 ")</f>
        <v xml:space="preserve">http://slimages.macys.com/is/image/MCY/19286673 </v>
      </c>
      <c r="N103" s="30"/>
    </row>
    <row r="104" spans="1:14" ht="60" x14ac:dyDescent="0.25">
      <c r="A104" s="19" t="s">
        <v>6793</v>
      </c>
      <c r="B104" s="17" t="s">
        <v>6792</v>
      </c>
      <c r="C104" s="20">
        <v>1</v>
      </c>
      <c r="D104" s="18">
        <v>78</v>
      </c>
      <c r="E104" s="20" t="s">
        <v>6791</v>
      </c>
      <c r="F104" s="17" t="s">
        <v>23</v>
      </c>
      <c r="G104" s="19" t="s">
        <v>62</v>
      </c>
      <c r="H104" s="18">
        <v>20.253333333333334</v>
      </c>
      <c r="I104" s="17" t="s">
        <v>133</v>
      </c>
      <c r="J104" s="17" t="s">
        <v>584</v>
      </c>
      <c r="K104" s="17"/>
      <c r="L104" s="17"/>
      <c r="M104" s="16" t="str">
        <f>HYPERLINK("http://slimages.macys.com/is/image/MCY/18403725 ")</f>
        <v xml:space="preserve">http://slimages.macys.com/is/image/MCY/18403725 </v>
      </c>
      <c r="N104" s="30"/>
    </row>
    <row r="105" spans="1:14" ht="60" x14ac:dyDescent="0.25">
      <c r="A105" s="19" t="s">
        <v>6790</v>
      </c>
      <c r="B105" s="17" t="s">
        <v>6789</v>
      </c>
      <c r="C105" s="20">
        <v>1</v>
      </c>
      <c r="D105" s="18">
        <v>95</v>
      </c>
      <c r="E105" s="20" t="s">
        <v>5214</v>
      </c>
      <c r="F105" s="17" t="s">
        <v>23</v>
      </c>
      <c r="G105" s="19" t="s">
        <v>69</v>
      </c>
      <c r="H105" s="18">
        <v>20.166666666666668</v>
      </c>
      <c r="I105" s="17" t="s">
        <v>80</v>
      </c>
      <c r="J105" s="17" t="s">
        <v>531</v>
      </c>
      <c r="K105" s="17"/>
      <c r="L105" s="17"/>
      <c r="M105" s="16" t="str">
        <f>HYPERLINK("http://slimages.macys.com/is/image/MCY/18371399 ")</f>
        <v xml:space="preserve">http://slimages.macys.com/is/image/MCY/18371399 </v>
      </c>
      <c r="N105" s="30"/>
    </row>
    <row r="106" spans="1:14" ht="60" x14ac:dyDescent="0.25">
      <c r="A106" s="19" t="s">
        <v>6788</v>
      </c>
      <c r="B106" s="17" t="s">
        <v>6787</v>
      </c>
      <c r="C106" s="20">
        <v>26</v>
      </c>
      <c r="D106" s="18">
        <v>95</v>
      </c>
      <c r="E106" s="20" t="s">
        <v>5214</v>
      </c>
      <c r="F106" s="17" t="s">
        <v>23</v>
      </c>
      <c r="G106" s="19" t="s">
        <v>62</v>
      </c>
      <c r="H106" s="18">
        <v>20.166666666666668</v>
      </c>
      <c r="I106" s="17" t="s">
        <v>80</v>
      </c>
      <c r="J106" s="17" t="s">
        <v>531</v>
      </c>
      <c r="K106" s="17"/>
      <c r="L106" s="17"/>
      <c r="M106" s="16" t="str">
        <f>HYPERLINK("http://slimages.macys.com/is/image/MCY/18371399 ")</f>
        <v xml:space="preserve">http://slimages.macys.com/is/image/MCY/18371399 </v>
      </c>
      <c r="N106" s="30"/>
    </row>
    <row r="107" spans="1:14" ht="60" x14ac:dyDescent="0.25">
      <c r="A107" s="19" t="s">
        <v>3922</v>
      </c>
      <c r="B107" s="17" t="s">
        <v>3921</v>
      </c>
      <c r="C107" s="20">
        <v>1</v>
      </c>
      <c r="D107" s="18">
        <v>74.25</v>
      </c>
      <c r="E107" s="20">
        <v>10649348</v>
      </c>
      <c r="F107" s="17" t="s">
        <v>51</v>
      </c>
      <c r="G107" s="19" t="s">
        <v>271</v>
      </c>
      <c r="H107" s="18">
        <v>19.8</v>
      </c>
      <c r="I107" s="17" t="s">
        <v>358</v>
      </c>
      <c r="J107" s="17" t="s">
        <v>143</v>
      </c>
      <c r="K107" s="17"/>
      <c r="L107" s="17"/>
      <c r="M107" s="16" t="str">
        <f>HYPERLINK("http://slimages.macys.com/is/image/MCY/8796552 ")</f>
        <v xml:space="preserve">http://slimages.macys.com/is/image/MCY/8796552 </v>
      </c>
      <c r="N107" s="30"/>
    </row>
    <row r="108" spans="1:14" ht="60" x14ac:dyDescent="0.25">
      <c r="A108" s="19" t="s">
        <v>5979</v>
      </c>
      <c r="B108" s="17" t="s">
        <v>5978</v>
      </c>
      <c r="C108" s="20">
        <v>1</v>
      </c>
      <c r="D108" s="18">
        <v>99</v>
      </c>
      <c r="E108" s="20">
        <v>10760812</v>
      </c>
      <c r="F108" s="17" t="s">
        <v>23</v>
      </c>
      <c r="G108" s="19" t="s">
        <v>96</v>
      </c>
      <c r="H108" s="18">
        <v>19.8</v>
      </c>
      <c r="I108" s="17" t="s">
        <v>115</v>
      </c>
      <c r="J108" s="17" t="s">
        <v>1265</v>
      </c>
      <c r="K108" s="17"/>
      <c r="L108" s="17"/>
      <c r="M108" s="16" t="str">
        <f>HYPERLINK("http://slimages.macys.com/is/image/MCY/16892803 ")</f>
        <v xml:space="preserve">http://slimages.macys.com/is/image/MCY/16892803 </v>
      </c>
      <c r="N108" s="30"/>
    </row>
    <row r="109" spans="1:14" ht="60" x14ac:dyDescent="0.25">
      <c r="A109" s="19" t="s">
        <v>2060</v>
      </c>
      <c r="B109" s="17" t="s">
        <v>2059</v>
      </c>
      <c r="C109" s="20">
        <v>1</v>
      </c>
      <c r="D109" s="18">
        <v>99</v>
      </c>
      <c r="E109" s="20">
        <v>10773568</v>
      </c>
      <c r="F109" s="17" t="s">
        <v>51</v>
      </c>
      <c r="G109" s="19" t="s">
        <v>857</v>
      </c>
      <c r="H109" s="18">
        <v>19.8</v>
      </c>
      <c r="I109" s="17" t="s">
        <v>115</v>
      </c>
      <c r="J109" s="17" t="s">
        <v>1265</v>
      </c>
      <c r="K109" s="17"/>
      <c r="L109" s="17"/>
      <c r="M109" s="16" t="str">
        <f>HYPERLINK("http://slimages.macys.com/is/image/MCY/18650670 ")</f>
        <v xml:space="preserve">http://slimages.macys.com/is/image/MCY/18650670 </v>
      </c>
      <c r="N109" s="30"/>
    </row>
    <row r="110" spans="1:14" ht="60" x14ac:dyDescent="0.25">
      <c r="A110" s="19" t="s">
        <v>2062</v>
      </c>
      <c r="B110" s="17" t="s">
        <v>2061</v>
      </c>
      <c r="C110" s="20">
        <v>1</v>
      </c>
      <c r="D110" s="18">
        <v>99</v>
      </c>
      <c r="E110" s="20">
        <v>10760812</v>
      </c>
      <c r="F110" s="17" t="s">
        <v>23</v>
      </c>
      <c r="G110" s="19" t="s">
        <v>116</v>
      </c>
      <c r="H110" s="18">
        <v>19.8</v>
      </c>
      <c r="I110" s="17" t="s">
        <v>115</v>
      </c>
      <c r="J110" s="17" t="s">
        <v>1265</v>
      </c>
      <c r="K110" s="17"/>
      <c r="L110" s="17"/>
      <c r="M110" s="16" t="str">
        <f>HYPERLINK("http://slimages.macys.com/is/image/MCY/16892803 ")</f>
        <v xml:space="preserve">http://slimages.macys.com/is/image/MCY/16892803 </v>
      </c>
      <c r="N110" s="30"/>
    </row>
    <row r="111" spans="1:14" ht="60" x14ac:dyDescent="0.25">
      <c r="A111" s="19" t="s">
        <v>6786</v>
      </c>
      <c r="B111" s="17" t="s">
        <v>6785</v>
      </c>
      <c r="C111" s="20">
        <v>1</v>
      </c>
      <c r="D111" s="18">
        <v>99</v>
      </c>
      <c r="E111" s="20">
        <v>10773460</v>
      </c>
      <c r="F111" s="17" t="s">
        <v>51</v>
      </c>
      <c r="G111" s="19" t="s">
        <v>96</v>
      </c>
      <c r="H111" s="18">
        <v>19.8</v>
      </c>
      <c r="I111" s="17" t="s">
        <v>115</v>
      </c>
      <c r="J111" s="17" t="s">
        <v>1265</v>
      </c>
      <c r="K111" s="17"/>
      <c r="L111" s="17"/>
      <c r="M111" s="16" t="str">
        <f>HYPERLINK("http://slimages.macys.com/is/image/MCY/16946407 ")</f>
        <v xml:space="preserve">http://slimages.macys.com/is/image/MCY/16946407 </v>
      </c>
      <c r="N111" s="30"/>
    </row>
    <row r="112" spans="1:14" ht="60" x14ac:dyDescent="0.25">
      <c r="A112" s="19" t="s">
        <v>6784</v>
      </c>
      <c r="B112" s="17" t="s">
        <v>6783</v>
      </c>
      <c r="C112" s="20">
        <v>1</v>
      </c>
      <c r="D112" s="18">
        <v>99</v>
      </c>
      <c r="E112" s="20" t="s">
        <v>2886</v>
      </c>
      <c r="F112" s="17" t="s">
        <v>91</v>
      </c>
      <c r="G112" s="19" t="s">
        <v>682</v>
      </c>
      <c r="H112" s="18">
        <v>19.8</v>
      </c>
      <c r="I112" s="17" t="s">
        <v>678</v>
      </c>
      <c r="J112" s="17" t="s">
        <v>404</v>
      </c>
      <c r="K112" s="17"/>
      <c r="L112" s="17"/>
      <c r="M112" s="16" t="str">
        <f>HYPERLINK("http://slimages.macys.com/is/image/MCY/19831300 ")</f>
        <v xml:space="preserve">http://slimages.macys.com/is/image/MCY/19831300 </v>
      </c>
      <c r="N112" s="30"/>
    </row>
    <row r="113" spans="1:14" ht="60" x14ac:dyDescent="0.25">
      <c r="A113" s="19" t="s">
        <v>6782</v>
      </c>
      <c r="B113" s="17" t="s">
        <v>6781</v>
      </c>
      <c r="C113" s="20">
        <v>1</v>
      </c>
      <c r="D113" s="18">
        <v>99</v>
      </c>
      <c r="E113" s="20" t="s">
        <v>6780</v>
      </c>
      <c r="F113" s="17" t="s">
        <v>58</v>
      </c>
      <c r="G113" s="19" t="s">
        <v>749</v>
      </c>
      <c r="H113" s="18">
        <v>19.8</v>
      </c>
      <c r="I113" s="17" t="s">
        <v>678</v>
      </c>
      <c r="J113" s="17" t="s">
        <v>404</v>
      </c>
      <c r="K113" s="17"/>
      <c r="L113" s="17"/>
      <c r="M113" s="16" t="str">
        <f>HYPERLINK("http://slimages.macys.com/is/image/MCY/19101011 ")</f>
        <v xml:space="preserve">http://slimages.macys.com/is/image/MCY/19101011 </v>
      </c>
      <c r="N113" s="30"/>
    </row>
    <row r="114" spans="1:14" ht="60" x14ac:dyDescent="0.25">
      <c r="A114" s="19" t="s">
        <v>6779</v>
      </c>
      <c r="B114" s="17" t="s">
        <v>6778</v>
      </c>
      <c r="C114" s="20">
        <v>1</v>
      </c>
      <c r="D114" s="18">
        <v>99</v>
      </c>
      <c r="E114" s="20">
        <v>10760812</v>
      </c>
      <c r="F114" s="17" t="s">
        <v>23</v>
      </c>
      <c r="G114" s="19" t="s">
        <v>857</v>
      </c>
      <c r="H114" s="18">
        <v>19.8</v>
      </c>
      <c r="I114" s="17" t="s">
        <v>115</v>
      </c>
      <c r="J114" s="17" t="s">
        <v>1265</v>
      </c>
      <c r="K114" s="17"/>
      <c r="L114" s="17"/>
      <c r="M114" s="16" t="str">
        <f>HYPERLINK("http://slimages.macys.com/is/image/MCY/16892803 ")</f>
        <v xml:space="preserve">http://slimages.macys.com/is/image/MCY/16892803 </v>
      </c>
      <c r="N114" s="30"/>
    </row>
    <row r="115" spans="1:14" ht="60" x14ac:dyDescent="0.25">
      <c r="A115" s="19" t="s">
        <v>5966</v>
      </c>
      <c r="B115" s="17" t="s">
        <v>5965</v>
      </c>
      <c r="C115" s="20">
        <v>1</v>
      </c>
      <c r="D115" s="18">
        <v>89</v>
      </c>
      <c r="E115" s="20" t="s">
        <v>3914</v>
      </c>
      <c r="F115" s="17" t="s">
        <v>1536</v>
      </c>
      <c r="G115" s="19" t="s">
        <v>101</v>
      </c>
      <c r="H115" s="18">
        <v>19.64</v>
      </c>
      <c r="I115" s="17" t="s">
        <v>49</v>
      </c>
      <c r="J115" s="17" t="s">
        <v>48</v>
      </c>
      <c r="K115" s="17"/>
      <c r="L115" s="17"/>
      <c r="M115" s="16" t="str">
        <f>HYPERLINK("http://slimages.macys.com/is/image/MCY/19644624 ")</f>
        <v xml:space="preserve">http://slimages.macys.com/is/image/MCY/19644624 </v>
      </c>
      <c r="N115" s="30"/>
    </row>
    <row r="116" spans="1:14" ht="60" x14ac:dyDescent="0.25">
      <c r="A116" s="19" t="s">
        <v>6777</v>
      </c>
      <c r="B116" s="17" t="s">
        <v>6776</v>
      </c>
      <c r="C116" s="20">
        <v>1</v>
      </c>
      <c r="D116" s="18">
        <v>99</v>
      </c>
      <c r="E116" s="20">
        <v>10799004</v>
      </c>
      <c r="F116" s="17" t="s">
        <v>51</v>
      </c>
      <c r="G116" s="19" t="s">
        <v>197</v>
      </c>
      <c r="H116" s="18">
        <v>19.14</v>
      </c>
      <c r="I116" s="17" t="s">
        <v>120</v>
      </c>
      <c r="J116" s="17" t="s">
        <v>119</v>
      </c>
      <c r="K116" s="17"/>
      <c r="L116" s="17"/>
      <c r="M116" s="16" t="str">
        <f>HYPERLINK("http://slimages.macys.com/is/image/MCY/18692804 ")</f>
        <v xml:space="preserve">http://slimages.macys.com/is/image/MCY/18692804 </v>
      </c>
      <c r="N116" s="30"/>
    </row>
    <row r="117" spans="1:14" ht="60" x14ac:dyDescent="0.25">
      <c r="A117" s="19" t="s">
        <v>3901</v>
      </c>
      <c r="B117" s="17" t="s">
        <v>3900</v>
      </c>
      <c r="C117" s="20">
        <v>1</v>
      </c>
      <c r="D117" s="18">
        <v>99</v>
      </c>
      <c r="E117" s="20">
        <v>10807630</v>
      </c>
      <c r="F117" s="17" t="s">
        <v>578</v>
      </c>
      <c r="G117" s="19" t="s">
        <v>351</v>
      </c>
      <c r="H117" s="18">
        <v>19.14</v>
      </c>
      <c r="I117" s="17" t="s">
        <v>1307</v>
      </c>
      <c r="J117" s="17" t="s">
        <v>1306</v>
      </c>
      <c r="K117" s="17"/>
      <c r="L117" s="17"/>
      <c r="M117" s="16" t="str">
        <f>HYPERLINK("http://slimages.macys.com/is/image/MCY/19225139 ")</f>
        <v xml:space="preserve">http://slimages.macys.com/is/image/MCY/19225139 </v>
      </c>
      <c r="N117" s="30"/>
    </row>
    <row r="118" spans="1:14" ht="60" x14ac:dyDescent="0.25">
      <c r="A118" s="19" t="s">
        <v>6775</v>
      </c>
      <c r="B118" s="17" t="s">
        <v>6774</v>
      </c>
      <c r="C118" s="20">
        <v>1</v>
      </c>
      <c r="D118" s="18">
        <v>89</v>
      </c>
      <c r="E118" s="20">
        <v>7020309</v>
      </c>
      <c r="F118" s="17" t="s">
        <v>58</v>
      </c>
      <c r="G118" s="19" t="s">
        <v>658</v>
      </c>
      <c r="H118" s="18">
        <v>18.986666666666668</v>
      </c>
      <c r="I118" s="17" t="s">
        <v>111</v>
      </c>
      <c r="J118" s="17" t="s">
        <v>110</v>
      </c>
      <c r="K118" s="17"/>
      <c r="L118" s="17"/>
      <c r="M118" s="16" t="str">
        <f>HYPERLINK("http://slimages.macys.com/is/image/MCY/16687760 ")</f>
        <v xml:space="preserve">http://slimages.macys.com/is/image/MCY/16687760 </v>
      </c>
      <c r="N118" s="30"/>
    </row>
    <row r="119" spans="1:14" ht="60" x14ac:dyDescent="0.25">
      <c r="A119" s="19" t="s">
        <v>5187</v>
      </c>
      <c r="B119" s="17" t="s">
        <v>5186</v>
      </c>
      <c r="C119" s="20">
        <v>1</v>
      </c>
      <c r="D119" s="18">
        <v>89</v>
      </c>
      <c r="E119" s="20">
        <v>7069229</v>
      </c>
      <c r="F119" s="17" t="s">
        <v>91</v>
      </c>
      <c r="G119" s="19" t="s">
        <v>22</v>
      </c>
      <c r="H119" s="18">
        <v>18.986666666666668</v>
      </c>
      <c r="I119" s="17" t="s">
        <v>111</v>
      </c>
      <c r="J119" s="17" t="s">
        <v>110</v>
      </c>
      <c r="K119" s="17" t="s">
        <v>389</v>
      </c>
      <c r="L119" s="17" t="s">
        <v>2860</v>
      </c>
      <c r="M119" s="16" t="str">
        <f>HYPERLINK("http://slimages.macys.com/is/image/MCY/15239479 ")</f>
        <v xml:space="preserve">http://slimages.macys.com/is/image/MCY/15239479 </v>
      </c>
      <c r="N119" s="30"/>
    </row>
    <row r="120" spans="1:14" ht="60" x14ac:dyDescent="0.25">
      <c r="A120" s="19" t="s">
        <v>6773</v>
      </c>
      <c r="B120" s="17" t="s">
        <v>6772</v>
      </c>
      <c r="C120" s="20">
        <v>1</v>
      </c>
      <c r="D120" s="18">
        <v>89</v>
      </c>
      <c r="E120" s="20">
        <v>7051018</v>
      </c>
      <c r="F120" s="17" t="s">
        <v>508</v>
      </c>
      <c r="G120" s="19" t="s">
        <v>101</v>
      </c>
      <c r="H120" s="18">
        <v>18.986666666666668</v>
      </c>
      <c r="I120" s="17" t="s">
        <v>111</v>
      </c>
      <c r="J120" s="17" t="s">
        <v>110</v>
      </c>
      <c r="K120" s="17"/>
      <c r="L120" s="17"/>
      <c r="M120" s="16" t="str">
        <f>HYPERLINK("http://slimages.macys.com/is/image/MCY/19967400 ")</f>
        <v xml:space="preserve">http://slimages.macys.com/is/image/MCY/19967400 </v>
      </c>
      <c r="N120" s="30"/>
    </row>
    <row r="121" spans="1:14" ht="60" x14ac:dyDescent="0.25">
      <c r="A121" s="19" t="s">
        <v>6771</v>
      </c>
      <c r="B121" s="17" t="s">
        <v>6770</v>
      </c>
      <c r="C121" s="20">
        <v>1</v>
      </c>
      <c r="D121" s="18">
        <v>99.5</v>
      </c>
      <c r="E121" s="20" t="s">
        <v>3893</v>
      </c>
      <c r="F121" s="17" t="s">
        <v>1536</v>
      </c>
      <c r="G121" s="19" t="s">
        <v>139</v>
      </c>
      <c r="H121" s="18">
        <v>18.740000000000002</v>
      </c>
      <c r="I121" s="17" t="s">
        <v>1891</v>
      </c>
      <c r="J121" s="17" t="s">
        <v>67</v>
      </c>
      <c r="K121" s="17"/>
      <c r="L121" s="17"/>
      <c r="M121" s="16" t="str">
        <f>HYPERLINK("http://slimages.macys.com/is/image/MCY/18344417 ")</f>
        <v xml:space="preserve">http://slimages.macys.com/is/image/MCY/18344417 </v>
      </c>
      <c r="N121" s="30"/>
    </row>
    <row r="122" spans="1:14" ht="60" x14ac:dyDescent="0.25">
      <c r="A122" s="19" t="s">
        <v>6769</v>
      </c>
      <c r="B122" s="17" t="s">
        <v>6768</v>
      </c>
      <c r="C122" s="20">
        <v>2</v>
      </c>
      <c r="D122" s="18">
        <v>99.5</v>
      </c>
      <c r="E122" s="20" t="s">
        <v>6767</v>
      </c>
      <c r="F122" s="17" t="s">
        <v>216</v>
      </c>
      <c r="G122" s="19" t="s">
        <v>74</v>
      </c>
      <c r="H122" s="18">
        <v>18.740000000000002</v>
      </c>
      <c r="I122" s="17" t="s">
        <v>68</v>
      </c>
      <c r="J122" s="17" t="s">
        <v>67</v>
      </c>
      <c r="K122" s="17"/>
      <c r="L122" s="17"/>
      <c r="M122" s="16" t="str">
        <f>HYPERLINK("http://slimages.macys.com/is/image/MCY/16848993 ")</f>
        <v xml:space="preserve">http://slimages.macys.com/is/image/MCY/16848993 </v>
      </c>
      <c r="N122" s="30"/>
    </row>
    <row r="123" spans="1:14" ht="60" x14ac:dyDescent="0.25">
      <c r="A123" s="19" t="s">
        <v>2859</v>
      </c>
      <c r="B123" s="17" t="s">
        <v>2858</v>
      </c>
      <c r="C123" s="20">
        <v>1</v>
      </c>
      <c r="D123" s="18">
        <v>66.75</v>
      </c>
      <c r="E123" s="20">
        <v>10769534</v>
      </c>
      <c r="F123" s="17" t="s">
        <v>28</v>
      </c>
      <c r="G123" s="19" t="s">
        <v>916</v>
      </c>
      <c r="H123" s="18">
        <v>18.693333333333332</v>
      </c>
      <c r="I123" s="17" t="s">
        <v>358</v>
      </c>
      <c r="J123" s="17" t="s">
        <v>143</v>
      </c>
      <c r="K123" s="17"/>
      <c r="L123" s="17"/>
      <c r="M123" s="16" t="str">
        <f>HYPERLINK("http://slimages.macys.com/is/image/MCY/19096266 ")</f>
        <v xml:space="preserve">http://slimages.macys.com/is/image/MCY/19096266 </v>
      </c>
      <c r="N123" s="30"/>
    </row>
    <row r="124" spans="1:14" ht="60" x14ac:dyDescent="0.25">
      <c r="A124" s="19" t="s">
        <v>6766</v>
      </c>
      <c r="B124" s="17" t="s">
        <v>6765</v>
      </c>
      <c r="C124" s="20">
        <v>2</v>
      </c>
      <c r="D124" s="18">
        <v>66.75</v>
      </c>
      <c r="E124" s="20">
        <v>10769534</v>
      </c>
      <c r="F124" s="17" t="s">
        <v>28</v>
      </c>
      <c r="G124" s="19" t="s">
        <v>1445</v>
      </c>
      <c r="H124" s="18">
        <v>18.693333333333332</v>
      </c>
      <c r="I124" s="17" t="s">
        <v>358</v>
      </c>
      <c r="J124" s="17" t="s">
        <v>143</v>
      </c>
      <c r="K124" s="17"/>
      <c r="L124" s="17"/>
      <c r="M124" s="16" t="str">
        <f>HYPERLINK("http://slimages.macys.com/is/image/MCY/19096266 ")</f>
        <v xml:space="preserve">http://slimages.macys.com/is/image/MCY/19096266 </v>
      </c>
      <c r="N124" s="30"/>
    </row>
    <row r="125" spans="1:14" ht="60" x14ac:dyDescent="0.25">
      <c r="A125" s="19" t="s">
        <v>6764</v>
      </c>
      <c r="B125" s="17" t="s">
        <v>3887</v>
      </c>
      <c r="C125" s="20">
        <v>1</v>
      </c>
      <c r="D125" s="18">
        <v>74.25</v>
      </c>
      <c r="E125" s="20" t="s">
        <v>2855</v>
      </c>
      <c r="F125" s="17" t="s">
        <v>282</v>
      </c>
      <c r="G125" s="19" t="s">
        <v>1292</v>
      </c>
      <c r="H125" s="18">
        <v>18.686666666666667</v>
      </c>
      <c r="I125" s="17" t="s">
        <v>358</v>
      </c>
      <c r="J125" s="17" t="s">
        <v>32</v>
      </c>
      <c r="K125" s="17"/>
      <c r="L125" s="17"/>
      <c r="M125" s="16" t="str">
        <f>HYPERLINK("http://slimages.macys.com/is/image/MCY/18747202 ")</f>
        <v xml:space="preserve">http://slimages.macys.com/is/image/MCY/18747202 </v>
      </c>
      <c r="N125" s="30"/>
    </row>
    <row r="126" spans="1:14" ht="60" x14ac:dyDescent="0.25">
      <c r="A126" s="19" t="s">
        <v>3888</v>
      </c>
      <c r="B126" s="17" t="s">
        <v>3887</v>
      </c>
      <c r="C126" s="20">
        <v>1</v>
      </c>
      <c r="D126" s="18">
        <v>74.25</v>
      </c>
      <c r="E126" s="20" t="s">
        <v>1296</v>
      </c>
      <c r="F126" s="17" t="s">
        <v>282</v>
      </c>
      <c r="G126" s="19" t="s">
        <v>1292</v>
      </c>
      <c r="H126" s="18">
        <v>18.686666666666667</v>
      </c>
      <c r="I126" s="17" t="s">
        <v>358</v>
      </c>
      <c r="J126" s="17" t="s">
        <v>32</v>
      </c>
      <c r="K126" s="17"/>
      <c r="L126" s="17"/>
      <c r="M126" s="16" t="str">
        <f>HYPERLINK("http://slimages.macys.com/is/image/MCY/19728327 ")</f>
        <v xml:space="preserve">http://slimages.macys.com/is/image/MCY/19728327 </v>
      </c>
      <c r="N126" s="30"/>
    </row>
    <row r="127" spans="1:14" ht="60" x14ac:dyDescent="0.25">
      <c r="A127" s="19" t="s">
        <v>6763</v>
      </c>
      <c r="B127" s="17" t="s">
        <v>6762</v>
      </c>
      <c r="C127" s="20">
        <v>1</v>
      </c>
      <c r="D127" s="18">
        <v>74.25</v>
      </c>
      <c r="E127" s="20" t="s">
        <v>5929</v>
      </c>
      <c r="F127" s="17" t="s">
        <v>1382</v>
      </c>
      <c r="G127" s="19" t="s">
        <v>738</v>
      </c>
      <c r="H127" s="18">
        <v>18.686666666666667</v>
      </c>
      <c r="I127" s="17" t="s">
        <v>33</v>
      </c>
      <c r="J127" s="17" t="s">
        <v>32</v>
      </c>
      <c r="K127" s="17"/>
      <c r="L127" s="17"/>
      <c r="M127" s="16" t="str">
        <f>HYPERLINK("http://slimages.macys.com/is/image/MCY/19321428 ")</f>
        <v xml:space="preserve">http://slimages.macys.com/is/image/MCY/19321428 </v>
      </c>
      <c r="N127" s="30"/>
    </row>
    <row r="128" spans="1:14" ht="60" x14ac:dyDescent="0.25">
      <c r="A128" s="19" t="s">
        <v>3884</v>
      </c>
      <c r="B128" s="17" t="s">
        <v>3883</v>
      </c>
      <c r="C128" s="20">
        <v>1</v>
      </c>
      <c r="D128" s="18">
        <v>74.25</v>
      </c>
      <c r="E128" s="20" t="s">
        <v>1296</v>
      </c>
      <c r="F128" s="17" t="s">
        <v>282</v>
      </c>
      <c r="G128" s="19" t="s">
        <v>880</v>
      </c>
      <c r="H128" s="18">
        <v>18.686666666666667</v>
      </c>
      <c r="I128" s="17" t="s">
        <v>358</v>
      </c>
      <c r="J128" s="17" t="s">
        <v>32</v>
      </c>
      <c r="K128" s="17"/>
      <c r="L128" s="17"/>
      <c r="M128" s="16" t="str">
        <f>HYPERLINK("http://slimages.macys.com/is/image/MCY/19728327 ")</f>
        <v xml:space="preserve">http://slimages.macys.com/is/image/MCY/19728327 </v>
      </c>
      <c r="N128" s="30"/>
    </row>
    <row r="129" spans="1:14" ht="60" x14ac:dyDescent="0.25">
      <c r="A129" s="19" t="s">
        <v>6761</v>
      </c>
      <c r="B129" s="17" t="s">
        <v>3885</v>
      </c>
      <c r="C129" s="20">
        <v>1</v>
      </c>
      <c r="D129" s="18">
        <v>74.25</v>
      </c>
      <c r="E129" s="20" t="s">
        <v>1296</v>
      </c>
      <c r="F129" s="17" t="s">
        <v>282</v>
      </c>
      <c r="G129" s="19" t="s">
        <v>916</v>
      </c>
      <c r="H129" s="18">
        <v>18.686666666666667</v>
      </c>
      <c r="I129" s="17" t="s">
        <v>358</v>
      </c>
      <c r="J129" s="17" t="s">
        <v>32</v>
      </c>
      <c r="K129" s="17"/>
      <c r="L129" s="17"/>
      <c r="M129" s="16" t="str">
        <f>HYPERLINK("http://slimages.macys.com/is/image/MCY/19728327 ")</f>
        <v xml:space="preserve">http://slimages.macys.com/is/image/MCY/19728327 </v>
      </c>
      <c r="N129" s="30"/>
    </row>
    <row r="130" spans="1:14" ht="60" x14ac:dyDescent="0.25">
      <c r="A130" s="19" t="s">
        <v>1291</v>
      </c>
      <c r="B130" s="17" t="s">
        <v>1290</v>
      </c>
      <c r="C130" s="20">
        <v>1</v>
      </c>
      <c r="D130" s="18">
        <v>74.25</v>
      </c>
      <c r="E130" s="20" t="s">
        <v>1289</v>
      </c>
      <c r="F130" s="17" t="s">
        <v>339</v>
      </c>
      <c r="G130" s="19" t="s">
        <v>880</v>
      </c>
      <c r="H130" s="18">
        <v>18.68</v>
      </c>
      <c r="I130" s="17" t="s">
        <v>358</v>
      </c>
      <c r="J130" s="17" t="s">
        <v>32</v>
      </c>
      <c r="K130" s="17"/>
      <c r="L130" s="17"/>
      <c r="M130" s="16" t="str">
        <f>HYPERLINK("http://slimages.macys.com/is/image/MCY/19548016 ")</f>
        <v xml:space="preserve">http://slimages.macys.com/is/image/MCY/19548016 </v>
      </c>
      <c r="N130" s="30"/>
    </row>
    <row r="131" spans="1:14" ht="60" x14ac:dyDescent="0.25">
      <c r="A131" s="19" t="s">
        <v>6760</v>
      </c>
      <c r="B131" s="17" t="s">
        <v>6759</v>
      </c>
      <c r="C131" s="20">
        <v>1</v>
      </c>
      <c r="D131" s="18">
        <v>74.25</v>
      </c>
      <c r="E131" s="20" t="s">
        <v>1289</v>
      </c>
      <c r="F131" s="17" t="s">
        <v>339</v>
      </c>
      <c r="G131" s="19" t="s">
        <v>1292</v>
      </c>
      <c r="H131" s="18">
        <v>18.68</v>
      </c>
      <c r="I131" s="17" t="s">
        <v>358</v>
      </c>
      <c r="J131" s="17" t="s">
        <v>32</v>
      </c>
      <c r="K131" s="17"/>
      <c r="L131" s="17"/>
      <c r="M131" s="16" t="str">
        <f>HYPERLINK("http://slimages.macys.com/is/image/MCY/19548016 ")</f>
        <v xml:space="preserve">http://slimages.macys.com/is/image/MCY/19548016 </v>
      </c>
      <c r="N131" s="30"/>
    </row>
    <row r="132" spans="1:14" ht="60" x14ac:dyDescent="0.25">
      <c r="A132" s="19" t="s">
        <v>6758</v>
      </c>
      <c r="B132" s="17" t="s">
        <v>6757</v>
      </c>
      <c r="C132" s="20">
        <v>1</v>
      </c>
      <c r="D132" s="18">
        <v>74.25</v>
      </c>
      <c r="E132" s="20" t="s">
        <v>6754</v>
      </c>
      <c r="F132" s="17" t="s">
        <v>28</v>
      </c>
      <c r="G132" s="19" t="s">
        <v>1292</v>
      </c>
      <c r="H132" s="18">
        <v>18.68</v>
      </c>
      <c r="I132" s="17" t="s">
        <v>358</v>
      </c>
      <c r="J132" s="17" t="s">
        <v>32</v>
      </c>
      <c r="K132" s="17"/>
      <c r="L132" s="17"/>
      <c r="M132" s="16" t="str">
        <f>HYPERLINK("http://slimages.macys.com/is/image/MCY/18995753 ")</f>
        <v xml:space="preserve">http://slimages.macys.com/is/image/MCY/18995753 </v>
      </c>
      <c r="N132" s="30"/>
    </row>
    <row r="133" spans="1:14" ht="60" x14ac:dyDescent="0.25">
      <c r="A133" s="19" t="s">
        <v>6756</v>
      </c>
      <c r="B133" s="17" t="s">
        <v>6755</v>
      </c>
      <c r="C133" s="20">
        <v>1</v>
      </c>
      <c r="D133" s="18">
        <v>74.25</v>
      </c>
      <c r="E133" s="20" t="s">
        <v>6754</v>
      </c>
      <c r="F133" s="17" t="s">
        <v>28</v>
      </c>
      <c r="G133" s="19" t="s">
        <v>880</v>
      </c>
      <c r="H133" s="18">
        <v>18.68</v>
      </c>
      <c r="I133" s="17" t="s">
        <v>358</v>
      </c>
      <c r="J133" s="17" t="s">
        <v>32</v>
      </c>
      <c r="K133" s="17"/>
      <c r="L133" s="17"/>
      <c r="M133" s="16" t="str">
        <f>HYPERLINK("http://slimages.macys.com/is/image/MCY/18995753 ")</f>
        <v xml:space="preserve">http://slimages.macys.com/is/image/MCY/18995753 </v>
      </c>
      <c r="N133" s="30"/>
    </row>
    <row r="134" spans="1:14" ht="120" x14ac:dyDescent="0.25">
      <c r="A134" s="19" t="s">
        <v>6753</v>
      </c>
      <c r="B134" s="17" t="s">
        <v>6752</v>
      </c>
      <c r="C134" s="20">
        <v>1</v>
      </c>
      <c r="D134" s="18">
        <v>74.25</v>
      </c>
      <c r="E134" s="20" t="s">
        <v>2848</v>
      </c>
      <c r="F134" s="17" t="s">
        <v>35</v>
      </c>
      <c r="G134" s="19" t="s">
        <v>1191</v>
      </c>
      <c r="H134" s="18">
        <v>18.559999999999999</v>
      </c>
      <c r="I134" s="17" t="s">
        <v>358</v>
      </c>
      <c r="J134" s="17" t="s">
        <v>32</v>
      </c>
      <c r="K134" s="17" t="s">
        <v>389</v>
      </c>
      <c r="L134" s="17" t="s">
        <v>2847</v>
      </c>
      <c r="M134" s="16" t="str">
        <f>HYPERLINK("http://slimages.macys.com/is/image/MCY/16092106 ")</f>
        <v xml:space="preserve">http://slimages.macys.com/is/image/MCY/16092106 </v>
      </c>
      <c r="N134" s="30"/>
    </row>
    <row r="135" spans="1:14" ht="120" x14ac:dyDescent="0.25">
      <c r="A135" s="19" t="s">
        <v>6751</v>
      </c>
      <c r="B135" s="17" t="s">
        <v>6750</v>
      </c>
      <c r="C135" s="20">
        <v>1</v>
      </c>
      <c r="D135" s="18">
        <v>74.25</v>
      </c>
      <c r="E135" s="20" t="s">
        <v>2848</v>
      </c>
      <c r="F135" s="17" t="s">
        <v>35</v>
      </c>
      <c r="G135" s="19"/>
      <c r="H135" s="18">
        <v>18.559999999999999</v>
      </c>
      <c r="I135" s="17" t="s">
        <v>358</v>
      </c>
      <c r="J135" s="17" t="s">
        <v>32</v>
      </c>
      <c r="K135" s="17" t="s">
        <v>389</v>
      </c>
      <c r="L135" s="17" t="s">
        <v>2847</v>
      </c>
      <c r="M135" s="16" t="str">
        <f>HYPERLINK("http://slimages.macys.com/is/image/MCY/16092106 ")</f>
        <v xml:space="preserve">http://slimages.macys.com/is/image/MCY/16092106 </v>
      </c>
      <c r="N135" s="30"/>
    </row>
    <row r="136" spans="1:14" ht="96" x14ac:dyDescent="0.25">
      <c r="A136" s="19" t="s">
        <v>6749</v>
      </c>
      <c r="B136" s="17" t="s">
        <v>6748</v>
      </c>
      <c r="C136" s="20">
        <v>4</v>
      </c>
      <c r="D136" s="18">
        <v>139</v>
      </c>
      <c r="E136" s="20" t="s">
        <v>6741</v>
      </c>
      <c r="F136" s="17" t="s">
        <v>575</v>
      </c>
      <c r="G136" s="19" t="s">
        <v>749</v>
      </c>
      <c r="H136" s="18">
        <v>18.533333333333331</v>
      </c>
      <c r="I136" s="17" t="s">
        <v>678</v>
      </c>
      <c r="J136" s="17" t="s">
        <v>404</v>
      </c>
      <c r="K136" s="17" t="s">
        <v>389</v>
      </c>
      <c r="L136" s="17" t="s">
        <v>6740</v>
      </c>
      <c r="M136" s="16" t="str">
        <f>HYPERLINK("http://slimages.macys.com/is/image/MCY/14384168 ")</f>
        <v xml:space="preserve">http://slimages.macys.com/is/image/MCY/14384168 </v>
      </c>
      <c r="N136" s="30"/>
    </row>
    <row r="137" spans="1:14" ht="96" x14ac:dyDescent="0.25">
      <c r="A137" s="19" t="s">
        <v>6747</v>
      </c>
      <c r="B137" s="17" t="s">
        <v>6746</v>
      </c>
      <c r="C137" s="20">
        <v>1</v>
      </c>
      <c r="D137" s="18">
        <v>139</v>
      </c>
      <c r="E137" s="20" t="s">
        <v>6741</v>
      </c>
      <c r="F137" s="17" t="s">
        <v>575</v>
      </c>
      <c r="G137" s="19" t="s">
        <v>898</v>
      </c>
      <c r="H137" s="18">
        <v>18.533333333333331</v>
      </c>
      <c r="I137" s="17" t="s">
        <v>678</v>
      </c>
      <c r="J137" s="17" t="s">
        <v>404</v>
      </c>
      <c r="K137" s="17" t="s">
        <v>389</v>
      </c>
      <c r="L137" s="17" t="s">
        <v>6740</v>
      </c>
      <c r="M137" s="16" t="str">
        <f>HYPERLINK("http://slimages.macys.com/is/image/MCY/14384168 ")</f>
        <v xml:space="preserve">http://slimages.macys.com/is/image/MCY/14384168 </v>
      </c>
      <c r="N137" s="30"/>
    </row>
    <row r="138" spans="1:14" ht="96" x14ac:dyDescent="0.25">
      <c r="A138" s="19" t="s">
        <v>6745</v>
      </c>
      <c r="B138" s="17" t="s">
        <v>6744</v>
      </c>
      <c r="C138" s="20">
        <v>1</v>
      </c>
      <c r="D138" s="18">
        <v>139</v>
      </c>
      <c r="E138" s="20" t="s">
        <v>6741</v>
      </c>
      <c r="F138" s="17" t="s">
        <v>575</v>
      </c>
      <c r="G138" s="19" t="s">
        <v>96</v>
      </c>
      <c r="H138" s="18">
        <v>18.533333333333331</v>
      </c>
      <c r="I138" s="17" t="s">
        <v>678</v>
      </c>
      <c r="J138" s="17" t="s">
        <v>404</v>
      </c>
      <c r="K138" s="17" t="s">
        <v>389</v>
      </c>
      <c r="L138" s="17" t="s">
        <v>6740</v>
      </c>
      <c r="M138" s="16" t="str">
        <f>HYPERLINK("http://slimages.macys.com/is/image/MCY/14384168 ")</f>
        <v xml:space="preserve">http://slimages.macys.com/is/image/MCY/14384168 </v>
      </c>
      <c r="N138" s="30"/>
    </row>
    <row r="139" spans="1:14" ht="96" x14ac:dyDescent="0.25">
      <c r="A139" s="19" t="s">
        <v>6743</v>
      </c>
      <c r="B139" s="17" t="s">
        <v>6742</v>
      </c>
      <c r="C139" s="20">
        <v>1</v>
      </c>
      <c r="D139" s="18">
        <v>139</v>
      </c>
      <c r="E139" s="20" t="s">
        <v>6741</v>
      </c>
      <c r="F139" s="17" t="s">
        <v>575</v>
      </c>
      <c r="G139" s="19" t="s">
        <v>116</v>
      </c>
      <c r="H139" s="18">
        <v>18.533333333333331</v>
      </c>
      <c r="I139" s="17" t="s">
        <v>678</v>
      </c>
      <c r="J139" s="17" t="s">
        <v>404</v>
      </c>
      <c r="K139" s="17" t="s">
        <v>389</v>
      </c>
      <c r="L139" s="17" t="s">
        <v>6740</v>
      </c>
      <c r="M139" s="16" t="str">
        <f>HYPERLINK("http://slimages.macys.com/is/image/MCY/14384168 ")</f>
        <v xml:space="preserve">http://slimages.macys.com/is/image/MCY/14384168 </v>
      </c>
      <c r="N139" s="30"/>
    </row>
    <row r="140" spans="1:14" ht="60" x14ac:dyDescent="0.25">
      <c r="A140" s="19" t="s">
        <v>6739</v>
      </c>
      <c r="B140" s="17" t="s">
        <v>6738</v>
      </c>
      <c r="C140" s="20">
        <v>1</v>
      </c>
      <c r="D140" s="18">
        <v>99</v>
      </c>
      <c r="E140" s="20" t="s">
        <v>6737</v>
      </c>
      <c r="F140" s="17" t="s">
        <v>58</v>
      </c>
      <c r="G140" s="19" t="s">
        <v>1968</v>
      </c>
      <c r="H140" s="18">
        <v>18.48</v>
      </c>
      <c r="I140" s="17" t="s">
        <v>33</v>
      </c>
      <c r="J140" s="17" t="s">
        <v>404</v>
      </c>
      <c r="K140" s="17"/>
      <c r="L140" s="17"/>
      <c r="M140" s="16" t="str">
        <f>HYPERLINK("http://slimages.macys.com/is/image/MCY/18272893 ")</f>
        <v xml:space="preserve">http://slimages.macys.com/is/image/MCY/18272893 </v>
      </c>
      <c r="N140" s="30"/>
    </row>
    <row r="141" spans="1:14" ht="60" x14ac:dyDescent="0.25">
      <c r="A141" s="19" t="s">
        <v>6736</v>
      </c>
      <c r="B141" s="17" t="s">
        <v>6735</v>
      </c>
      <c r="C141" s="20">
        <v>1</v>
      </c>
      <c r="D141" s="18">
        <v>99</v>
      </c>
      <c r="E141" s="20" t="s">
        <v>6734</v>
      </c>
      <c r="F141" s="17" t="s">
        <v>51</v>
      </c>
      <c r="G141" s="19" t="s">
        <v>197</v>
      </c>
      <c r="H141" s="18">
        <v>18.28</v>
      </c>
      <c r="I141" s="17" t="s">
        <v>405</v>
      </c>
      <c r="J141" s="17" t="s">
        <v>404</v>
      </c>
      <c r="K141" s="17"/>
      <c r="L141" s="17"/>
      <c r="M141" s="16" t="str">
        <f>HYPERLINK("http://slimages.macys.com/is/image/MCY/18232311 ")</f>
        <v xml:space="preserve">http://slimages.macys.com/is/image/MCY/18232311 </v>
      </c>
      <c r="N141" s="30"/>
    </row>
    <row r="142" spans="1:14" ht="60" x14ac:dyDescent="0.25">
      <c r="A142" s="19" t="s">
        <v>6733</v>
      </c>
      <c r="B142" s="17" t="s">
        <v>6732</v>
      </c>
      <c r="C142" s="20">
        <v>2</v>
      </c>
      <c r="D142" s="18">
        <v>89</v>
      </c>
      <c r="E142" s="20">
        <v>10804602</v>
      </c>
      <c r="F142" s="17" t="s">
        <v>282</v>
      </c>
      <c r="G142" s="19" t="s">
        <v>271</v>
      </c>
      <c r="H142" s="18">
        <v>17.8</v>
      </c>
      <c r="I142" s="17" t="s">
        <v>358</v>
      </c>
      <c r="J142" s="17" t="s">
        <v>554</v>
      </c>
      <c r="K142" s="17"/>
      <c r="L142" s="17"/>
      <c r="M142" s="16" t="str">
        <f>HYPERLINK("http://slimages.macys.com/is/image/MCY/18874161 ")</f>
        <v xml:space="preserve">http://slimages.macys.com/is/image/MCY/18874161 </v>
      </c>
      <c r="N142" s="30"/>
    </row>
    <row r="143" spans="1:14" ht="60" x14ac:dyDescent="0.25">
      <c r="A143" s="19" t="s">
        <v>6731</v>
      </c>
      <c r="B143" s="17" t="s">
        <v>6730</v>
      </c>
      <c r="C143" s="20">
        <v>1</v>
      </c>
      <c r="D143" s="18">
        <v>89</v>
      </c>
      <c r="E143" s="20">
        <v>10797834</v>
      </c>
      <c r="F143" s="17" t="s">
        <v>508</v>
      </c>
      <c r="G143" s="19" t="s">
        <v>916</v>
      </c>
      <c r="H143" s="18">
        <v>17.8</v>
      </c>
      <c r="I143" s="17" t="s">
        <v>358</v>
      </c>
      <c r="J143" s="17" t="s">
        <v>554</v>
      </c>
      <c r="K143" s="17"/>
      <c r="L143" s="17"/>
      <c r="M143" s="16" t="str">
        <f>HYPERLINK("http://slimages.macys.com/is/image/MCY/18520677 ")</f>
        <v xml:space="preserve">http://slimages.macys.com/is/image/MCY/18520677 </v>
      </c>
      <c r="N143" s="30"/>
    </row>
    <row r="144" spans="1:14" ht="60" x14ac:dyDescent="0.25">
      <c r="A144" s="19" t="s">
        <v>6729</v>
      </c>
      <c r="B144" s="17" t="s">
        <v>6728</v>
      </c>
      <c r="C144" s="20">
        <v>1</v>
      </c>
      <c r="D144" s="18">
        <v>89</v>
      </c>
      <c r="E144" s="20" t="s">
        <v>6727</v>
      </c>
      <c r="F144" s="17" t="s">
        <v>3009</v>
      </c>
      <c r="G144" s="19" t="s">
        <v>658</v>
      </c>
      <c r="H144" s="18">
        <v>17.8</v>
      </c>
      <c r="I144" s="17" t="s">
        <v>144</v>
      </c>
      <c r="J144" s="17" t="s">
        <v>496</v>
      </c>
      <c r="K144" s="17"/>
      <c r="L144" s="17"/>
      <c r="M144" s="16" t="str">
        <f>HYPERLINK("http://slimages.macys.com/is/image/MCY/19161967 ")</f>
        <v xml:space="preserve">http://slimages.macys.com/is/image/MCY/19161967 </v>
      </c>
      <c r="N144" s="30"/>
    </row>
    <row r="145" spans="1:14" ht="60" x14ac:dyDescent="0.25">
      <c r="A145" s="19" t="s">
        <v>6726</v>
      </c>
      <c r="B145" s="17" t="s">
        <v>6725</v>
      </c>
      <c r="C145" s="20">
        <v>1</v>
      </c>
      <c r="D145" s="18">
        <v>89</v>
      </c>
      <c r="E145" s="20" t="s">
        <v>6724</v>
      </c>
      <c r="F145" s="17" t="s">
        <v>881</v>
      </c>
      <c r="G145" s="19" t="s">
        <v>898</v>
      </c>
      <c r="H145" s="18">
        <v>17.8</v>
      </c>
      <c r="I145" s="17" t="s">
        <v>144</v>
      </c>
      <c r="J145" s="17" t="s">
        <v>496</v>
      </c>
      <c r="K145" s="17"/>
      <c r="L145" s="17"/>
      <c r="M145" s="16" t="str">
        <f>HYPERLINK("http://slimages.macys.com/is/image/MCY/18652088 ")</f>
        <v xml:space="preserve">http://slimages.macys.com/is/image/MCY/18652088 </v>
      </c>
      <c r="N145" s="30"/>
    </row>
    <row r="146" spans="1:14" ht="60" x14ac:dyDescent="0.25">
      <c r="A146" s="19" t="s">
        <v>6723</v>
      </c>
      <c r="B146" s="17" t="s">
        <v>6722</v>
      </c>
      <c r="C146" s="20">
        <v>1</v>
      </c>
      <c r="D146" s="18">
        <v>79.5</v>
      </c>
      <c r="E146" s="20" t="s">
        <v>6721</v>
      </c>
      <c r="F146" s="17" t="s">
        <v>390</v>
      </c>
      <c r="G146" s="19" t="s">
        <v>116</v>
      </c>
      <c r="H146" s="18">
        <v>17.493333333333336</v>
      </c>
      <c r="I146" s="17" t="s">
        <v>654</v>
      </c>
      <c r="J146" s="17" t="s">
        <v>653</v>
      </c>
      <c r="K146" s="17"/>
      <c r="L146" s="17"/>
      <c r="M146" s="16" t="str">
        <f>HYPERLINK("http://slimages.macys.com/is/image/MCY/18984199 ")</f>
        <v xml:space="preserve">http://slimages.macys.com/is/image/MCY/18984199 </v>
      </c>
      <c r="N146" s="30"/>
    </row>
    <row r="147" spans="1:14" ht="60" x14ac:dyDescent="0.25">
      <c r="A147" s="19" t="s">
        <v>6720</v>
      </c>
      <c r="B147" s="17" t="s">
        <v>6719</v>
      </c>
      <c r="C147" s="20">
        <v>1</v>
      </c>
      <c r="D147" s="18">
        <v>119</v>
      </c>
      <c r="E147" s="20">
        <v>10765886</v>
      </c>
      <c r="F147" s="17" t="s">
        <v>575</v>
      </c>
      <c r="G147" s="19" t="s">
        <v>139</v>
      </c>
      <c r="H147" s="18">
        <v>17.453333333333333</v>
      </c>
      <c r="I147" s="17" t="s">
        <v>1307</v>
      </c>
      <c r="J147" s="17" t="s">
        <v>1306</v>
      </c>
      <c r="K147" s="17"/>
      <c r="L147" s="17"/>
      <c r="M147" s="16" t="str">
        <f>HYPERLINK("http://slimages.macys.com/is/image/MCY/17747427 ")</f>
        <v xml:space="preserve">http://slimages.macys.com/is/image/MCY/17747427 </v>
      </c>
      <c r="N147" s="30"/>
    </row>
    <row r="148" spans="1:14" ht="60" x14ac:dyDescent="0.25">
      <c r="A148" s="19" t="s">
        <v>6718</v>
      </c>
      <c r="B148" s="17" t="s">
        <v>6717</v>
      </c>
      <c r="C148" s="20">
        <v>1</v>
      </c>
      <c r="D148" s="18">
        <v>79</v>
      </c>
      <c r="E148" s="20" t="s">
        <v>6716</v>
      </c>
      <c r="F148" s="17" t="s">
        <v>1356</v>
      </c>
      <c r="G148" s="19" t="s">
        <v>17</v>
      </c>
      <c r="H148" s="18">
        <v>17.433333333333337</v>
      </c>
      <c r="I148" s="17" t="s">
        <v>49</v>
      </c>
      <c r="J148" s="17" t="s">
        <v>48</v>
      </c>
      <c r="K148" s="17"/>
      <c r="L148" s="17"/>
      <c r="M148" s="16" t="str">
        <f>HYPERLINK("http://slimages.macys.com/is/image/MCY/19634790 ")</f>
        <v xml:space="preserve">http://slimages.macys.com/is/image/MCY/19634790 </v>
      </c>
      <c r="N148" s="30"/>
    </row>
    <row r="149" spans="1:14" ht="60" x14ac:dyDescent="0.25">
      <c r="A149" s="19" t="s">
        <v>6715</v>
      </c>
      <c r="B149" s="17" t="s">
        <v>6714</v>
      </c>
      <c r="C149" s="20">
        <v>1</v>
      </c>
      <c r="D149" s="18">
        <v>79</v>
      </c>
      <c r="E149" s="20" t="s">
        <v>2020</v>
      </c>
      <c r="F149" s="17" t="s">
        <v>23</v>
      </c>
      <c r="G149" s="19" t="s">
        <v>17</v>
      </c>
      <c r="H149" s="18">
        <v>17.433333333333337</v>
      </c>
      <c r="I149" s="17" t="s">
        <v>49</v>
      </c>
      <c r="J149" s="17" t="s">
        <v>48</v>
      </c>
      <c r="K149" s="17"/>
      <c r="L149" s="17"/>
      <c r="M149" s="16" t="str">
        <f>HYPERLINK("http://slimages.macys.com/is/image/MCY/19352380 ")</f>
        <v xml:space="preserve">http://slimages.macys.com/is/image/MCY/19352380 </v>
      </c>
      <c r="N149" s="30"/>
    </row>
    <row r="150" spans="1:14" ht="60" x14ac:dyDescent="0.25">
      <c r="A150" s="19" t="s">
        <v>6713</v>
      </c>
      <c r="B150" s="17" t="s">
        <v>6712</v>
      </c>
      <c r="C150" s="20">
        <v>1</v>
      </c>
      <c r="D150" s="18">
        <v>79</v>
      </c>
      <c r="E150" s="20" t="s">
        <v>6711</v>
      </c>
      <c r="F150" s="17" t="s">
        <v>345</v>
      </c>
      <c r="G150" s="19" t="s">
        <v>22</v>
      </c>
      <c r="H150" s="18">
        <v>17.433333333333337</v>
      </c>
      <c r="I150" s="17" t="s">
        <v>49</v>
      </c>
      <c r="J150" s="17" t="s">
        <v>48</v>
      </c>
      <c r="K150" s="17"/>
      <c r="L150" s="17"/>
      <c r="M150" s="16" t="str">
        <f>HYPERLINK("http://slimages.macys.com/is/image/MCY/18534696 ")</f>
        <v xml:space="preserve">http://slimages.macys.com/is/image/MCY/18534696 </v>
      </c>
      <c r="N150" s="30"/>
    </row>
    <row r="151" spans="1:14" ht="60" x14ac:dyDescent="0.25">
      <c r="A151" s="19" t="s">
        <v>6710</v>
      </c>
      <c r="B151" s="17" t="s">
        <v>6709</v>
      </c>
      <c r="C151" s="20">
        <v>1</v>
      </c>
      <c r="D151" s="18">
        <v>79</v>
      </c>
      <c r="E151" s="20" t="s">
        <v>5908</v>
      </c>
      <c r="F151" s="17" t="s">
        <v>3009</v>
      </c>
      <c r="G151" s="19" t="s">
        <v>62</v>
      </c>
      <c r="H151" s="18">
        <v>17.433333333333337</v>
      </c>
      <c r="I151" s="17" t="s">
        <v>49</v>
      </c>
      <c r="J151" s="17" t="s">
        <v>48</v>
      </c>
      <c r="K151" s="17"/>
      <c r="L151" s="17"/>
      <c r="M151" s="16" t="str">
        <f>HYPERLINK("http://slimages.macys.com/is/image/MCY/19179496 ")</f>
        <v xml:space="preserve">http://slimages.macys.com/is/image/MCY/19179496 </v>
      </c>
      <c r="N151" s="30"/>
    </row>
    <row r="152" spans="1:14" ht="60" x14ac:dyDescent="0.25">
      <c r="A152" s="19" t="s">
        <v>6708</v>
      </c>
      <c r="B152" s="17" t="s">
        <v>6707</v>
      </c>
      <c r="C152" s="20">
        <v>1</v>
      </c>
      <c r="D152" s="18">
        <v>79</v>
      </c>
      <c r="E152" s="20" t="s">
        <v>595</v>
      </c>
      <c r="F152" s="17" t="s">
        <v>91</v>
      </c>
      <c r="G152" s="19" t="s">
        <v>17</v>
      </c>
      <c r="H152" s="18">
        <v>17.433333333333337</v>
      </c>
      <c r="I152" s="17" t="s">
        <v>49</v>
      </c>
      <c r="J152" s="17" t="s">
        <v>48</v>
      </c>
      <c r="K152" s="17"/>
      <c r="L152" s="17"/>
      <c r="M152" s="16" t="str">
        <f>HYPERLINK("http://slimages.macys.com/is/image/MCY/18990389 ")</f>
        <v xml:space="preserve">http://slimages.macys.com/is/image/MCY/18990389 </v>
      </c>
      <c r="N152" s="30"/>
    </row>
    <row r="153" spans="1:14" ht="72" x14ac:dyDescent="0.25">
      <c r="A153" s="19" t="s">
        <v>6706</v>
      </c>
      <c r="B153" s="17" t="s">
        <v>6705</v>
      </c>
      <c r="C153" s="20">
        <v>1</v>
      </c>
      <c r="D153" s="18">
        <v>109</v>
      </c>
      <c r="E153" s="20" t="s">
        <v>3845</v>
      </c>
      <c r="F153" s="17" t="s">
        <v>58</v>
      </c>
      <c r="G153" s="19" t="s">
        <v>6704</v>
      </c>
      <c r="H153" s="18">
        <v>17.333333333333336</v>
      </c>
      <c r="I153" s="17" t="s">
        <v>115</v>
      </c>
      <c r="J153" s="17" t="s">
        <v>3843</v>
      </c>
      <c r="K153" s="17" t="s">
        <v>389</v>
      </c>
      <c r="L153" s="17" t="s">
        <v>3842</v>
      </c>
      <c r="M153" s="16" t="str">
        <f>HYPERLINK("http://slimages.macys.com/is/image/MCY/9699299 ")</f>
        <v xml:space="preserve">http://slimages.macys.com/is/image/MCY/9699299 </v>
      </c>
      <c r="N153" s="30"/>
    </row>
    <row r="154" spans="1:14" ht="60" x14ac:dyDescent="0.25">
      <c r="A154" s="19" t="s">
        <v>6703</v>
      </c>
      <c r="B154" s="17" t="s">
        <v>6702</v>
      </c>
      <c r="C154" s="20">
        <v>1</v>
      </c>
      <c r="D154" s="18">
        <v>89.5</v>
      </c>
      <c r="E154" s="20" t="s">
        <v>6701</v>
      </c>
      <c r="F154" s="17" t="s">
        <v>58</v>
      </c>
      <c r="G154" s="19" t="s">
        <v>1445</v>
      </c>
      <c r="H154" s="18">
        <v>17.006666666666668</v>
      </c>
      <c r="I154" s="17" t="s">
        <v>540</v>
      </c>
      <c r="J154" s="17" t="s">
        <v>105</v>
      </c>
      <c r="K154" s="17" t="s">
        <v>389</v>
      </c>
      <c r="L154" s="17" t="s">
        <v>388</v>
      </c>
      <c r="M154" s="16" t="str">
        <f>HYPERLINK("http://slimages.macys.com/is/image/MCY/8360768 ")</f>
        <v xml:space="preserve">http://slimages.macys.com/is/image/MCY/8360768 </v>
      </c>
      <c r="N154" s="30"/>
    </row>
    <row r="155" spans="1:14" ht="60" x14ac:dyDescent="0.25">
      <c r="A155" s="19" t="s">
        <v>6700</v>
      </c>
      <c r="B155" s="17" t="s">
        <v>6699</v>
      </c>
      <c r="C155" s="20">
        <v>1</v>
      </c>
      <c r="D155" s="18">
        <v>89.5</v>
      </c>
      <c r="E155" s="20" t="s">
        <v>4565</v>
      </c>
      <c r="F155" s="17" t="s">
        <v>58</v>
      </c>
      <c r="G155" s="19" t="s">
        <v>139</v>
      </c>
      <c r="H155" s="18">
        <v>17.006666666666668</v>
      </c>
      <c r="I155" s="17" t="s">
        <v>540</v>
      </c>
      <c r="J155" s="17" t="s">
        <v>105</v>
      </c>
      <c r="K155" s="17"/>
      <c r="L155" s="17"/>
      <c r="M155" s="16" t="str">
        <f>HYPERLINK("http://slimages.macys.com/is/image/MCY/19216094 ")</f>
        <v xml:space="preserve">http://slimages.macys.com/is/image/MCY/19216094 </v>
      </c>
      <c r="N155" s="30"/>
    </row>
    <row r="156" spans="1:14" ht="60" x14ac:dyDescent="0.25">
      <c r="A156" s="19" t="s">
        <v>4564</v>
      </c>
      <c r="B156" s="17" t="s">
        <v>4563</v>
      </c>
      <c r="C156" s="20">
        <v>1</v>
      </c>
      <c r="D156" s="18">
        <v>89</v>
      </c>
      <c r="E156" s="20" t="s">
        <v>4562</v>
      </c>
      <c r="F156" s="17" t="s">
        <v>51</v>
      </c>
      <c r="G156" s="19" t="s">
        <v>1445</v>
      </c>
      <c r="H156" s="18">
        <v>16.913333333333334</v>
      </c>
      <c r="I156" s="17" t="s">
        <v>540</v>
      </c>
      <c r="J156" s="17" t="s">
        <v>105</v>
      </c>
      <c r="K156" s="17" t="s">
        <v>389</v>
      </c>
      <c r="L156" s="17" t="s">
        <v>1359</v>
      </c>
      <c r="M156" s="16" t="str">
        <f>HYPERLINK("http://slimages.macys.com/is/image/MCY/10048495 ")</f>
        <v xml:space="preserve">http://slimages.macys.com/is/image/MCY/10048495 </v>
      </c>
      <c r="N156" s="30"/>
    </row>
    <row r="157" spans="1:14" ht="60" x14ac:dyDescent="0.25">
      <c r="A157" s="19" t="s">
        <v>6698</v>
      </c>
      <c r="B157" s="17" t="s">
        <v>6697</v>
      </c>
      <c r="C157" s="20">
        <v>1</v>
      </c>
      <c r="D157" s="18">
        <v>79</v>
      </c>
      <c r="E157" s="20" t="s">
        <v>6696</v>
      </c>
      <c r="F157" s="17" t="s">
        <v>44</v>
      </c>
      <c r="G157" s="19" t="s">
        <v>101</v>
      </c>
      <c r="H157" s="18">
        <v>16.86</v>
      </c>
      <c r="I157" s="17" t="s">
        <v>49</v>
      </c>
      <c r="J157" s="17" t="s">
        <v>48</v>
      </c>
      <c r="K157" s="17"/>
      <c r="L157" s="17"/>
      <c r="M157" s="16" t="str">
        <f>HYPERLINK("http://slimages.macys.com/is/image/MCY/18280385 ")</f>
        <v xml:space="preserve">http://slimages.macys.com/is/image/MCY/18280385 </v>
      </c>
      <c r="N157" s="30"/>
    </row>
    <row r="158" spans="1:14" ht="60" x14ac:dyDescent="0.25">
      <c r="A158" s="19" t="s">
        <v>6695</v>
      </c>
      <c r="B158" s="17" t="s">
        <v>6694</v>
      </c>
      <c r="C158" s="20">
        <v>1</v>
      </c>
      <c r="D158" s="18">
        <v>89.5</v>
      </c>
      <c r="E158" s="20" t="s">
        <v>5889</v>
      </c>
      <c r="F158" s="17" t="s">
        <v>263</v>
      </c>
      <c r="G158" s="19"/>
      <c r="H158" s="18">
        <v>16.853333333333335</v>
      </c>
      <c r="I158" s="17" t="s">
        <v>1891</v>
      </c>
      <c r="J158" s="17" t="s">
        <v>67</v>
      </c>
      <c r="K158" s="17"/>
      <c r="L158" s="17"/>
      <c r="M158" s="16" t="str">
        <f>HYPERLINK("http://slimages.macys.com/is/image/MCY/18733681 ")</f>
        <v xml:space="preserve">http://slimages.macys.com/is/image/MCY/18733681 </v>
      </c>
      <c r="N158" s="30"/>
    </row>
    <row r="159" spans="1:14" ht="60" x14ac:dyDescent="0.25">
      <c r="A159" s="19" t="s">
        <v>6693</v>
      </c>
      <c r="B159" s="17" t="s">
        <v>6692</v>
      </c>
      <c r="C159" s="20">
        <v>1</v>
      </c>
      <c r="D159" s="18">
        <v>89.5</v>
      </c>
      <c r="E159" s="20" t="s">
        <v>5889</v>
      </c>
      <c r="F159" s="17" t="s">
        <v>263</v>
      </c>
      <c r="G159" s="19" t="s">
        <v>351</v>
      </c>
      <c r="H159" s="18">
        <v>16.853333333333335</v>
      </c>
      <c r="I159" s="17" t="s">
        <v>1891</v>
      </c>
      <c r="J159" s="17" t="s">
        <v>67</v>
      </c>
      <c r="K159" s="17"/>
      <c r="L159" s="17"/>
      <c r="M159" s="16" t="str">
        <f>HYPERLINK("http://slimages.macys.com/is/image/MCY/18733681 ")</f>
        <v xml:space="preserve">http://slimages.macys.com/is/image/MCY/18733681 </v>
      </c>
      <c r="N159" s="30"/>
    </row>
    <row r="160" spans="1:14" ht="60" x14ac:dyDescent="0.25">
      <c r="A160" s="19" t="s">
        <v>6691</v>
      </c>
      <c r="B160" s="17" t="s">
        <v>6690</v>
      </c>
      <c r="C160" s="20">
        <v>2</v>
      </c>
      <c r="D160" s="18">
        <v>89.5</v>
      </c>
      <c r="E160" s="20" t="s">
        <v>5889</v>
      </c>
      <c r="F160" s="17" t="s">
        <v>23</v>
      </c>
      <c r="G160" s="19"/>
      <c r="H160" s="18">
        <v>16.853333333333335</v>
      </c>
      <c r="I160" s="17" t="s">
        <v>1891</v>
      </c>
      <c r="J160" s="17" t="s">
        <v>67</v>
      </c>
      <c r="K160" s="17"/>
      <c r="L160" s="17"/>
      <c r="M160" s="16" t="str">
        <f>HYPERLINK("http://slimages.macys.com/is/image/MCY/18733681 ")</f>
        <v xml:space="preserve">http://slimages.macys.com/is/image/MCY/18733681 </v>
      </c>
      <c r="N160" s="30"/>
    </row>
    <row r="161" spans="1:14" ht="120" x14ac:dyDescent="0.25">
      <c r="A161" s="19" t="s">
        <v>6689</v>
      </c>
      <c r="B161" s="17" t="s">
        <v>6688</v>
      </c>
      <c r="C161" s="20">
        <v>1</v>
      </c>
      <c r="D161" s="18">
        <v>69</v>
      </c>
      <c r="E161" s="20" t="s">
        <v>6687</v>
      </c>
      <c r="F161" s="17" t="s">
        <v>1356</v>
      </c>
      <c r="G161" s="19" t="s">
        <v>773</v>
      </c>
      <c r="H161" s="18">
        <v>16.853333333333335</v>
      </c>
      <c r="I161" s="17" t="s">
        <v>1363</v>
      </c>
      <c r="J161" s="17" t="s">
        <v>1362</v>
      </c>
      <c r="K161" s="17" t="s">
        <v>637</v>
      </c>
      <c r="L161" s="17" t="s">
        <v>6686</v>
      </c>
      <c r="M161" s="16" t="str">
        <f>HYPERLINK("http://images.bloomingdales.com/is/image/BLM/11509761 ")</f>
        <v xml:space="preserve">http://images.bloomingdales.com/is/image/BLM/11509761 </v>
      </c>
      <c r="N161" s="30"/>
    </row>
    <row r="162" spans="1:14" ht="60" x14ac:dyDescent="0.25">
      <c r="A162" s="19" t="s">
        <v>6685</v>
      </c>
      <c r="B162" s="17" t="s">
        <v>6684</v>
      </c>
      <c r="C162" s="20">
        <v>1</v>
      </c>
      <c r="D162" s="18">
        <v>89.5</v>
      </c>
      <c r="E162" s="20" t="s">
        <v>5889</v>
      </c>
      <c r="F162" s="17" t="s">
        <v>23</v>
      </c>
      <c r="G162" s="19" t="s">
        <v>139</v>
      </c>
      <c r="H162" s="18">
        <v>16.853333333333335</v>
      </c>
      <c r="I162" s="17" t="s">
        <v>1891</v>
      </c>
      <c r="J162" s="17" t="s">
        <v>67</v>
      </c>
      <c r="K162" s="17"/>
      <c r="L162" s="17"/>
      <c r="M162" s="16" t="str">
        <f>HYPERLINK("http://slimages.macys.com/is/image/MCY/18733681 ")</f>
        <v xml:space="preserve">http://slimages.macys.com/is/image/MCY/18733681 </v>
      </c>
      <c r="N162" s="30"/>
    </row>
    <row r="163" spans="1:14" ht="60" x14ac:dyDescent="0.25">
      <c r="A163" s="19" t="s">
        <v>6683</v>
      </c>
      <c r="B163" s="17" t="s">
        <v>6682</v>
      </c>
      <c r="C163" s="20">
        <v>1</v>
      </c>
      <c r="D163" s="18">
        <v>79</v>
      </c>
      <c r="E163" s="20">
        <v>7051202</v>
      </c>
      <c r="F163" s="17" t="s">
        <v>508</v>
      </c>
      <c r="G163" s="19" t="s">
        <v>101</v>
      </c>
      <c r="H163" s="18">
        <v>16.853333333333335</v>
      </c>
      <c r="I163" s="17" t="s">
        <v>111</v>
      </c>
      <c r="J163" s="17" t="s">
        <v>110</v>
      </c>
      <c r="K163" s="17"/>
      <c r="L163" s="17"/>
      <c r="M163" s="16" t="str">
        <f>HYPERLINK("http://slimages.macys.com/is/image/MCY/19850415 ")</f>
        <v xml:space="preserve">http://slimages.macys.com/is/image/MCY/19850415 </v>
      </c>
      <c r="N163" s="30"/>
    </row>
    <row r="164" spans="1:14" ht="60" x14ac:dyDescent="0.25">
      <c r="A164" s="19" t="s">
        <v>6681</v>
      </c>
      <c r="B164" s="17" t="s">
        <v>6680</v>
      </c>
      <c r="C164" s="20">
        <v>1</v>
      </c>
      <c r="D164" s="18">
        <v>89.5</v>
      </c>
      <c r="E164" s="20" t="s">
        <v>2825</v>
      </c>
      <c r="F164" s="17" t="s">
        <v>28</v>
      </c>
      <c r="G164" s="19" t="s">
        <v>69</v>
      </c>
      <c r="H164" s="18">
        <v>16.853333333333335</v>
      </c>
      <c r="I164" s="17" t="s">
        <v>68</v>
      </c>
      <c r="J164" s="17" t="s">
        <v>67</v>
      </c>
      <c r="K164" s="17"/>
      <c r="L164" s="17"/>
      <c r="M164" s="16" t="str">
        <f>HYPERLINK("http://slimages.macys.com/is/image/MCY/18390709 ")</f>
        <v xml:space="preserve">http://slimages.macys.com/is/image/MCY/18390709 </v>
      </c>
      <c r="N164" s="30"/>
    </row>
    <row r="165" spans="1:14" ht="60" x14ac:dyDescent="0.25">
      <c r="A165" s="19" t="s">
        <v>592</v>
      </c>
      <c r="B165" s="17" t="s">
        <v>591</v>
      </c>
      <c r="C165" s="20">
        <v>1</v>
      </c>
      <c r="D165" s="18">
        <v>79.5</v>
      </c>
      <c r="E165" s="20" t="s">
        <v>590</v>
      </c>
      <c r="F165" s="17" t="s">
        <v>51</v>
      </c>
      <c r="G165" s="19" t="s">
        <v>74</v>
      </c>
      <c r="H165" s="18">
        <v>16.833333333333332</v>
      </c>
      <c r="I165" s="17" t="s">
        <v>80</v>
      </c>
      <c r="J165" s="17" t="s">
        <v>531</v>
      </c>
      <c r="K165" s="17"/>
      <c r="L165" s="17"/>
      <c r="M165" s="16" t="str">
        <f>HYPERLINK("http://slimages.macys.com/is/image/MCY/18269800 ")</f>
        <v xml:space="preserve">http://slimages.macys.com/is/image/MCY/18269800 </v>
      </c>
      <c r="N165" s="30"/>
    </row>
    <row r="166" spans="1:14" ht="60" x14ac:dyDescent="0.25">
      <c r="A166" s="19" t="s">
        <v>1258</v>
      </c>
      <c r="B166" s="17" t="s">
        <v>1257</v>
      </c>
      <c r="C166" s="20">
        <v>1</v>
      </c>
      <c r="D166" s="18">
        <v>66.75</v>
      </c>
      <c r="E166" s="20">
        <v>10543036</v>
      </c>
      <c r="F166" s="17" t="s">
        <v>508</v>
      </c>
      <c r="G166" s="19" t="s">
        <v>880</v>
      </c>
      <c r="H166" s="18">
        <v>16.82</v>
      </c>
      <c r="I166" s="17" t="s">
        <v>358</v>
      </c>
      <c r="J166" s="17" t="s">
        <v>143</v>
      </c>
      <c r="K166" s="17" t="s">
        <v>389</v>
      </c>
      <c r="L166" s="17" t="s">
        <v>662</v>
      </c>
      <c r="M166" s="16" t="str">
        <f>HYPERLINK("http://slimages.macys.com/is/image/MCY/9441485 ")</f>
        <v xml:space="preserve">http://slimages.macys.com/is/image/MCY/9441485 </v>
      </c>
      <c r="N166" s="30"/>
    </row>
    <row r="167" spans="1:14" ht="96" x14ac:dyDescent="0.25">
      <c r="A167" s="19" t="s">
        <v>6679</v>
      </c>
      <c r="B167" s="17" t="s">
        <v>6678</v>
      </c>
      <c r="C167" s="20">
        <v>1</v>
      </c>
      <c r="D167" s="18">
        <v>66.75</v>
      </c>
      <c r="E167" s="20">
        <v>10759522</v>
      </c>
      <c r="F167" s="17" t="s">
        <v>206</v>
      </c>
      <c r="G167" s="19" t="s">
        <v>1292</v>
      </c>
      <c r="H167" s="18">
        <v>16.82</v>
      </c>
      <c r="I167" s="17" t="s">
        <v>358</v>
      </c>
      <c r="J167" s="17" t="s">
        <v>143</v>
      </c>
      <c r="K167" s="17" t="s">
        <v>389</v>
      </c>
      <c r="L167" s="17" t="s">
        <v>1355</v>
      </c>
      <c r="M167" s="16" t="str">
        <f>HYPERLINK("http://slimages.macys.com/is/image/MCY/16486057 ")</f>
        <v xml:space="preserve">http://slimages.macys.com/is/image/MCY/16486057 </v>
      </c>
      <c r="N167" s="30"/>
    </row>
    <row r="168" spans="1:14" ht="84" x14ac:dyDescent="0.25">
      <c r="A168" s="19" t="s">
        <v>6677</v>
      </c>
      <c r="B168" s="17" t="s">
        <v>6676</v>
      </c>
      <c r="C168" s="20">
        <v>1</v>
      </c>
      <c r="D168" s="18">
        <v>66.75</v>
      </c>
      <c r="E168" s="20">
        <v>10695400</v>
      </c>
      <c r="F168" s="17" t="s">
        <v>51</v>
      </c>
      <c r="G168" s="19" t="s">
        <v>880</v>
      </c>
      <c r="H168" s="18">
        <v>16.82</v>
      </c>
      <c r="I168" s="17" t="s">
        <v>358</v>
      </c>
      <c r="J168" s="17" t="s">
        <v>143</v>
      </c>
      <c r="K168" s="17" t="s">
        <v>389</v>
      </c>
      <c r="L168" s="17" t="s">
        <v>1154</v>
      </c>
      <c r="M168" s="16" t="str">
        <f>HYPERLINK("http://slimages.macys.com/is/image/MCY/14829582 ")</f>
        <v xml:space="preserve">http://slimages.macys.com/is/image/MCY/14829582 </v>
      </c>
      <c r="N168" s="30"/>
    </row>
    <row r="169" spans="1:14" ht="60" x14ac:dyDescent="0.25">
      <c r="A169" s="19" t="s">
        <v>6675</v>
      </c>
      <c r="B169" s="17" t="s">
        <v>6674</v>
      </c>
      <c r="C169" s="20">
        <v>1</v>
      </c>
      <c r="D169" s="18">
        <v>99</v>
      </c>
      <c r="E169" s="20">
        <v>2331910</v>
      </c>
      <c r="F169" s="17" t="s">
        <v>575</v>
      </c>
      <c r="G169" s="19" t="s">
        <v>22</v>
      </c>
      <c r="H169" s="18">
        <v>16.666666666666668</v>
      </c>
      <c r="I169" s="17" t="s">
        <v>80</v>
      </c>
      <c r="J169" s="17" t="s">
        <v>293</v>
      </c>
      <c r="K169" s="17"/>
      <c r="L169" s="17"/>
      <c r="M169" s="16" t="str">
        <f>HYPERLINK("http://slimages.macys.com/is/image/MCY/19109916 ")</f>
        <v xml:space="preserve">http://slimages.macys.com/is/image/MCY/19109916 </v>
      </c>
      <c r="N169" s="30"/>
    </row>
    <row r="170" spans="1:14" ht="60" x14ac:dyDescent="0.25">
      <c r="A170" s="19" t="s">
        <v>6673</v>
      </c>
      <c r="B170" s="17" t="s">
        <v>6672</v>
      </c>
      <c r="C170" s="20">
        <v>1</v>
      </c>
      <c r="D170" s="18">
        <v>59.25</v>
      </c>
      <c r="E170" s="20">
        <v>10802046</v>
      </c>
      <c r="F170" s="17" t="s">
        <v>1356</v>
      </c>
      <c r="G170" s="19" t="s">
        <v>351</v>
      </c>
      <c r="H170" s="18">
        <v>16.593333333333334</v>
      </c>
      <c r="I170" s="17" t="s">
        <v>358</v>
      </c>
      <c r="J170" s="17" t="s">
        <v>143</v>
      </c>
      <c r="K170" s="17"/>
      <c r="L170" s="17"/>
      <c r="M170" s="16" t="str">
        <f>HYPERLINK("http://slimages.macys.com/is/image/MCY/19286637 ")</f>
        <v xml:space="preserve">http://slimages.macys.com/is/image/MCY/19286637 </v>
      </c>
      <c r="N170" s="30"/>
    </row>
    <row r="171" spans="1:14" ht="60" x14ac:dyDescent="0.25">
      <c r="A171" s="19" t="s">
        <v>6671</v>
      </c>
      <c r="B171" s="17" t="s">
        <v>6670</v>
      </c>
      <c r="C171" s="20">
        <v>1</v>
      </c>
      <c r="D171" s="18">
        <v>59.25</v>
      </c>
      <c r="E171" s="20">
        <v>10762546</v>
      </c>
      <c r="F171" s="17" t="s">
        <v>140</v>
      </c>
      <c r="G171" s="19" t="s">
        <v>271</v>
      </c>
      <c r="H171" s="18">
        <v>16.593333333333334</v>
      </c>
      <c r="I171" s="17" t="s">
        <v>358</v>
      </c>
      <c r="J171" s="17" t="s">
        <v>143</v>
      </c>
      <c r="K171" s="17"/>
      <c r="L171" s="17"/>
      <c r="M171" s="16" t="str">
        <f>HYPERLINK("http://slimages.macys.com/is/image/MCY/18954069 ")</f>
        <v xml:space="preserve">http://slimages.macys.com/is/image/MCY/18954069 </v>
      </c>
      <c r="N171" s="30"/>
    </row>
    <row r="172" spans="1:14" ht="60" x14ac:dyDescent="0.25">
      <c r="A172" s="19" t="s">
        <v>6669</v>
      </c>
      <c r="B172" s="17" t="s">
        <v>6668</v>
      </c>
      <c r="C172" s="20">
        <v>1</v>
      </c>
      <c r="D172" s="18">
        <v>59.25</v>
      </c>
      <c r="E172" s="20">
        <v>10769533</v>
      </c>
      <c r="F172" s="17" t="s">
        <v>28</v>
      </c>
      <c r="G172" s="19" t="s">
        <v>4021</v>
      </c>
      <c r="H172" s="18">
        <v>16.593333333333334</v>
      </c>
      <c r="I172" s="17" t="s">
        <v>33</v>
      </c>
      <c r="J172" s="17" t="s">
        <v>143</v>
      </c>
      <c r="K172" s="17"/>
      <c r="L172" s="17"/>
      <c r="M172" s="16" t="str">
        <f>HYPERLINK("http://slimages.macys.com/is/image/MCY/18601537 ")</f>
        <v xml:space="preserve">http://slimages.macys.com/is/image/MCY/18601537 </v>
      </c>
      <c r="N172" s="30"/>
    </row>
    <row r="173" spans="1:14" ht="60" x14ac:dyDescent="0.25">
      <c r="A173" s="19" t="s">
        <v>6667</v>
      </c>
      <c r="B173" s="17" t="s">
        <v>6666</v>
      </c>
      <c r="C173" s="20">
        <v>1</v>
      </c>
      <c r="D173" s="18">
        <v>89</v>
      </c>
      <c r="E173" s="20" t="s">
        <v>6665</v>
      </c>
      <c r="F173" s="17" t="s">
        <v>433</v>
      </c>
      <c r="G173" s="19" t="s">
        <v>197</v>
      </c>
      <c r="H173" s="18">
        <v>16.433333333333334</v>
      </c>
      <c r="I173" s="17" t="s">
        <v>405</v>
      </c>
      <c r="J173" s="17" t="s">
        <v>404</v>
      </c>
      <c r="K173" s="17"/>
      <c r="L173" s="17"/>
      <c r="M173" s="16" t="str">
        <f>HYPERLINK("http://slimages.macys.com/is/image/MCY/17417605 ")</f>
        <v xml:space="preserve">http://slimages.macys.com/is/image/MCY/17417605 </v>
      </c>
      <c r="N173" s="30"/>
    </row>
    <row r="174" spans="1:14" ht="60" x14ac:dyDescent="0.25">
      <c r="A174" s="19" t="s">
        <v>6664</v>
      </c>
      <c r="B174" s="17" t="s">
        <v>6663</v>
      </c>
      <c r="C174" s="20">
        <v>1</v>
      </c>
      <c r="D174" s="18">
        <v>89</v>
      </c>
      <c r="E174" s="20" t="s">
        <v>6662</v>
      </c>
      <c r="F174" s="17" t="s">
        <v>23</v>
      </c>
      <c r="G174" s="19" t="s">
        <v>57</v>
      </c>
      <c r="H174" s="18">
        <v>16.433333333333334</v>
      </c>
      <c r="I174" s="17" t="s">
        <v>405</v>
      </c>
      <c r="J174" s="17" t="s">
        <v>404</v>
      </c>
      <c r="K174" s="17"/>
      <c r="L174" s="17"/>
      <c r="M174" s="16" t="str">
        <f>HYPERLINK("http://slimages.macys.com/is/image/MCY/18829945 ")</f>
        <v xml:space="preserve">http://slimages.macys.com/is/image/MCY/18829945 </v>
      </c>
      <c r="N174" s="30"/>
    </row>
    <row r="175" spans="1:14" ht="60" x14ac:dyDescent="0.25">
      <c r="A175" s="19" t="s">
        <v>6661</v>
      </c>
      <c r="B175" s="17" t="s">
        <v>6660</v>
      </c>
      <c r="C175" s="20">
        <v>1</v>
      </c>
      <c r="D175" s="18">
        <v>60</v>
      </c>
      <c r="E175" s="20" t="s">
        <v>6659</v>
      </c>
      <c r="F175" s="17" t="s">
        <v>578</v>
      </c>
      <c r="G175" s="19" t="s">
        <v>101</v>
      </c>
      <c r="H175" s="18">
        <v>16.333333333333336</v>
      </c>
      <c r="I175" s="17" t="s">
        <v>16</v>
      </c>
      <c r="J175" s="17" t="s">
        <v>15</v>
      </c>
      <c r="K175" s="17"/>
      <c r="L175" s="17"/>
      <c r="M175" s="16" t="str">
        <f>HYPERLINK("http://slimages.macys.com/is/image/MCY/17842314 ")</f>
        <v xml:space="preserve">http://slimages.macys.com/is/image/MCY/17842314 </v>
      </c>
      <c r="N175" s="30"/>
    </row>
    <row r="176" spans="1:14" ht="60" x14ac:dyDescent="0.25">
      <c r="A176" s="19" t="s">
        <v>6658</v>
      </c>
      <c r="B176" s="17" t="s">
        <v>6657</v>
      </c>
      <c r="C176" s="20">
        <v>1</v>
      </c>
      <c r="D176" s="18">
        <v>79</v>
      </c>
      <c r="E176" s="20">
        <v>10785912</v>
      </c>
      <c r="F176" s="17" t="s">
        <v>51</v>
      </c>
      <c r="G176" s="19" t="s">
        <v>773</v>
      </c>
      <c r="H176" s="18">
        <v>16.326666666666668</v>
      </c>
      <c r="I176" s="17" t="s">
        <v>144</v>
      </c>
      <c r="J176" s="17" t="s">
        <v>143</v>
      </c>
      <c r="K176" s="17"/>
      <c r="L176" s="17"/>
      <c r="M176" s="16" t="str">
        <f>HYPERLINK("http://slimages.macys.com/is/image/MCY/17954436 ")</f>
        <v xml:space="preserve">http://slimages.macys.com/is/image/MCY/17954436 </v>
      </c>
      <c r="N176" s="30"/>
    </row>
    <row r="177" spans="1:14" ht="60" x14ac:dyDescent="0.25">
      <c r="A177" s="19" t="s">
        <v>6656</v>
      </c>
      <c r="B177" s="17" t="s">
        <v>6655</v>
      </c>
      <c r="C177" s="20">
        <v>1</v>
      </c>
      <c r="D177" s="18">
        <v>79</v>
      </c>
      <c r="E177" s="20">
        <v>10770084</v>
      </c>
      <c r="F177" s="17" t="s">
        <v>51</v>
      </c>
      <c r="G177" s="19" t="s">
        <v>96</v>
      </c>
      <c r="H177" s="18">
        <v>16.326666666666668</v>
      </c>
      <c r="I177" s="17" t="s">
        <v>144</v>
      </c>
      <c r="J177" s="17" t="s">
        <v>143</v>
      </c>
      <c r="K177" s="17"/>
      <c r="L177" s="17"/>
      <c r="M177" s="16" t="str">
        <f>HYPERLINK("http://slimages.macys.com/is/image/MCY/18601098 ")</f>
        <v xml:space="preserve">http://slimages.macys.com/is/image/MCY/18601098 </v>
      </c>
      <c r="N177" s="30"/>
    </row>
    <row r="178" spans="1:14" ht="60" x14ac:dyDescent="0.25">
      <c r="A178" s="19" t="s">
        <v>6654</v>
      </c>
      <c r="B178" s="17" t="s">
        <v>6653</v>
      </c>
      <c r="C178" s="20">
        <v>1</v>
      </c>
      <c r="D178" s="18">
        <v>79.5</v>
      </c>
      <c r="E178" s="20" t="s">
        <v>6652</v>
      </c>
      <c r="F178" s="17" t="s">
        <v>23</v>
      </c>
      <c r="G178" s="19" t="s">
        <v>698</v>
      </c>
      <c r="H178" s="18">
        <v>16.013333333333335</v>
      </c>
      <c r="I178" s="17" t="s">
        <v>106</v>
      </c>
      <c r="J178" s="17" t="s">
        <v>105</v>
      </c>
      <c r="K178" s="17" t="s">
        <v>389</v>
      </c>
      <c r="L178" s="17" t="s">
        <v>6651</v>
      </c>
      <c r="M178" s="16" t="str">
        <f>HYPERLINK("http://slimages.macys.com/is/image/MCY/8746501 ")</f>
        <v xml:space="preserve">http://slimages.macys.com/is/image/MCY/8746501 </v>
      </c>
      <c r="N178" s="30"/>
    </row>
    <row r="179" spans="1:14" ht="60" x14ac:dyDescent="0.25">
      <c r="A179" s="19" t="s">
        <v>6650</v>
      </c>
      <c r="B179" s="17" t="s">
        <v>6649</v>
      </c>
      <c r="C179" s="20">
        <v>1</v>
      </c>
      <c r="D179" s="18">
        <v>79.5</v>
      </c>
      <c r="E179" s="20" t="s">
        <v>6648</v>
      </c>
      <c r="F179" s="17" t="s">
        <v>51</v>
      </c>
      <c r="G179" s="19" t="s">
        <v>62</v>
      </c>
      <c r="H179" s="18">
        <v>16.013333333333335</v>
      </c>
      <c r="I179" s="17" t="s">
        <v>106</v>
      </c>
      <c r="J179" s="17" t="s">
        <v>105</v>
      </c>
      <c r="K179" s="17"/>
      <c r="L179" s="17"/>
      <c r="M179" s="16" t="str">
        <f>HYPERLINK("http://slimages.macys.com/is/image/MCY/20110683 ")</f>
        <v xml:space="preserve">http://slimages.macys.com/is/image/MCY/20110683 </v>
      </c>
      <c r="N179" s="30"/>
    </row>
    <row r="180" spans="1:14" ht="60" x14ac:dyDescent="0.25">
      <c r="A180" s="19" t="s">
        <v>1246</v>
      </c>
      <c r="B180" s="17" t="s">
        <v>1245</v>
      </c>
      <c r="C180" s="20">
        <v>1</v>
      </c>
      <c r="D180" s="18">
        <v>79.5</v>
      </c>
      <c r="E180" s="20" t="s">
        <v>1244</v>
      </c>
      <c r="F180" s="17" t="s">
        <v>91</v>
      </c>
      <c r="G180" s="19" t="s">
        <v>62</v>
      </c>
      <c r="H180" s="18">
        <v>16.013333333333335</v>
      </c>
      <c r="I180" s="17" t="s">
        <v>106</v>
      </c>
      <c r="J180" s="17" t="s">
        <v>105</v>
      </c>
      <c r="K180" s="17"/>
      <c r="L180" s="17"/>
      <c r="M180" s="16" t="str">
        <f>HYPERLINK("http://slimages.macys.com/is/image/MCY/20125785 ")</f>
        <v xml:space="preserve">http://slimages.macys.com/is/image/MCY/20125785 </v>
      </c>
      <c r="N180" s="30"/>
    </row>
    <row r="181" spans="1:14" ht="60" x14ac:dyDescent="0.25">
      <c r="A181" s="19" t="s">
        <v>6647</v>
      </c>
      <c r="B181" s="17" t="s">
        <v>6646</v>
      </c>
      <c r="C181" s="20">
        <v>1</v>
      </c>
      <c r="D181" s="18">
        <v>79.5</v>
      </c>
      <c r="E181" s="20" t="s">
        <v>1249</v>
      </c>
      <c r="F181" s="17" t="s">
        <v>164</v>
      </c>
      <c r="G181" s="19" t="s">
        <v>69</v>
      </c>
      <c r="H181" s="18">
        <v>16.013333333333335</v>
      </c>
      <c r="I181" s="17" t="s">
        <v>106</v>
      </c>
      <c r="J181" s="17" t="s">
        <v>105</v>
      </c>
      <c r="K181" s="17"/>
      <c r="L181" s="17"/>
      <c r="M181" s="16" t="str">
        <f>HYPERLINK("http://slimages.macys.com/is/image/MCY/19965885 ")</f>
        <v xml:space="preserve">http://slimages.macys.com/is/image/MCY/19965885 </v>
      </c>
      <c r="N181" s="30"/>
    </row>
    <row r="182" spans="1:14" ht="60" x14ac:dyDescent="0.25">
      <c r="A182" s="19" t="s">
        <v>6645</v>
      </c>
      <c r="B182" s="17" t="s">
        <v>6644</v>
      </c>
      <c r="C182" s="20">
        <v>1</v>
      </c>
      <c r="D182" s="18">
        <v>79.5</v>
      </c>
      <c r="E182" s="20" t="s">
        <v>1244</v>
      </c>
      <c r="F182" s="17" t="s">
        <v>51</v>
      </c>
      <c r="G182" s="19" t="s">
        <v>74</v>
      </c>
      <c r="H182" s="18">
        <v>16.013333333333335</v>
      </c>
      <c r="I182" s="17" t="s">
        <v>106</v>
      </c>
      <c r="J182" s="17" t="s">
        <v>105</v>
      </c>
      <c r="K182" s="17"/>
      <c r="L182" s="17"/>
      <c r="M182" s="16" t="str">
        <f>HYPERLINK("http://slimages.macys.com/is/image/MCY/20125785 ")</f>
        <v xml:space="preserve">http://slimages.macys.com/is/image/MCY/20125785 </v>
      </c>
      <c r="N182" s="30"/>
    </row>
    <row r="183" spans="1:14" ht="60" x14ac:dyDescent="0.25">
      <c r="A183" s="19" t="s">
        <v>6643</v>
      </c>
      <c r="B183" s="17" t="s">
        <v>6642</v>
      </c>
      <c r="C183" s="20">
        <v>1</v>
      </c>
      <c r="D183" s="18">
        <v>75</v>
      </c>
      <c r="E183" s="20" t="s">
        <v>559</v>
      </c>
      <c r="F183" s="17" t="s">
        <v>51</v>
      </c>
      <c r="G183" s="19" t="s">
        <v>74</v>
      </c>
      <c r="H183" s="18">
        <v>16</v>
      </c>
      <c r="I183" s="17" t="s">
        <v>80</v>
      </c>
      <c r="J183" s="17" t="s">
        <v>531</v>
      </c>
      <c r="K183" s="17"/>
      <c r="L183" s="17"/>
      <c r="M183" s="16" t="str">
        <f>HYPERLINK("http://slimages.macys.com/is/image/MCY/18371419 ")</f>
        <v xml:space="preserve">http://slimages.macys.com/is/image/MCY/18371419 </v>
      </c>
      <c r="N183" s="30"/>
    </row>
    <row r="184" spans="1:14" ht="60" x14ac:dyDescent="0.25">
      <c r="A184" s="19" t="s">
        <v>6641</v>
      </c>
      <c r="B184" s="17" t="s">
        <v>6640</v>
      </c>
      <c r="C184" s="20">
        <v>1</v>
      </c>
      <c r="D184" s="18">
        <v>79</v>
      </c>
      <c r="E184" s="20">
        <v>10769940</v>
      </c>
      <c r="F184" s="17" t="s">
        <v>578</v>
      </c>
      <c r="G184" s="19" t="s">
        <v>197</v>
      </c>
      <c r="H184" s="18">
        <v>15.8</v>
      </c>
      <c r="I184" s="17" t="s">
        <v>115</v>
      </c>
      <c r="J184" s="17" t="s">
        <v>1265</v>
      </c>
      <c r="K184" s="17"/>
      <c r="L184" s="17"/>
      <c r="M184" s="16" t="str">
        <f>HYPERLINK("http://slimages.macys.com/is/image/MCY/17791893 ")</f>
        <v xml:space="preserve">http://slimages.macys.com/is/image/MCY/17791893 </v>
      </c>
      <c r="N184" s="30"/>
    </row>
    <row r="185" spans="1:14" ht="60" x14ac:dyDescent="0.25">
      <c r="A185" s="19" t="s">
        <v>5124</v>
      </c>
      <c r="B185" s="17" t="s">
        <v>5123</v>
      </c>
      <c r="C185" s="20">
        <v>1</v>
      </c>
      <c r="D185" s="18">
        <v>79</v>
      </c>
      <c r="E185" s="20">
        <v>10804962</v>
      </c>
      <c r="F185" s="17" t="s">
        <v>1022</v>
      </c>
      <c r="G185" s="19" t="s">
        <v>139</v>
      </c>
      <c r="H185" s="18">
        <v>15.8</v>
      </c>
      <c r="I185" s="17" t="s">
        <v>358</v>
      </c>
      <c r="J185" s="17" t="s">
        <v>554</v>
      </c>
      <c r="K185" s="17"/>
      <c r="L185" s="17"/>
      <c r="M185" s="16" t="str">
        <f>HYPERLINK("http://slimages.macys.com/is/image/MCY/19205592 ")</f>
        <v xml:space="preserve">http://slimages.macys.com/is/image/MCY/19205592 </v>
      </c>
      <c r="N185" s="30"/>
    </row>
    <row r="186" spans="1:14" ht="60" x14ac:dyDescent="0.25">
      <c r="A186" s="19" t="s">
        <v>6639</v>
      </c>
      <c r="B186" s="17" t="s">
        <v>6638</v>
      </c>
      <c r="C186" s="20">
        <v>1</v>
      </c>
      <c r="D186" s="18">
        <v>66.75</v>
      </c>
      <c r="E186" s="20" t="s">
        <v>6637</v>
      </c>
      <c r="F186" s="17" t="s">
        <v>51</v>
      </c>
      <c r="G186" s="19" t="s">
        <v>738</v>
      </c>
      <c r="H186" s="18">
        <v>15.573333333333332</v>
      </c>
      <c r="I186" s="17" t="s">
        <v>33</v>
      </c>
      <c r="J186" s="17" t="s">
        <v>32</v>
      </c>
      <c r="K186" s="17"/>
      <c r="L186" s="17"/>
      <c r="M186" s="16" t="str">
        <f>HYPERLINK("http://slimages.macys.com/is/image/MCY/20460099 ")</f>
        <v xml:space="preserve">http://slimages.macys.com/is/image/MCY/20460099 </v>
      </c>
      <c r="N186" s="30"/>
    </row>
    <row r="187" spans="1:14" ht="60" x14ac:dyDescent="0.25">
      <c r="A187" s="19" t="s">
        <v>6636</v>
      </c>
      <c r="B187" s="17" t="s">
        <v>6635</v>
      </c>
      <c r="C187" s="20">
        <v>1</v>
      </c>
      <c r="D187" s="18">
        <v>89</v>
      </c>
      <c r="E187" s="20" t="s">
        <v>6634</v>
      </c>
      <c r="F187" s="17" t="s">
        <v>578</v>
      </c>
      <c r="G187" s="19" t="s">
        <v>116</v>
      </c>
      <c r="H187" s="18">
        <v>15.333333333333332</v>
      </c>
      <c r="I187" s="17" t="s">
        <v>148</v>
      </c>
      <c r="J187" s="17" t="s">
        <v>409</v>
      </c>
      <c r="K187" s="17"/>
      <c r="L187" s="17"/>
      <c r="M187" s="16" t="str">
        <f>HYPERLINK("http://slimages.macys.com/is/image/MCY/19868677 ")</f>
        <v xml:space="preserve">http://slimages.macys.com/is/image/MCY/19868677 </v>
      </c>
      <c r="N187" s="30"/>
    </row>
    <row r="188" spans="1:14" ht="96" x14ac:dyDescent="0.25">
      <c r="A188" s="19" t="s">
        <v>3753</v>
      </c>
      <c r="B188" s="17" t="s">
        <v>3752</v>
      </c>
      <c r="C188" s="20">
        <v>1</v>
      </c>
      <c r="D188" s="18">
        <v>79</v>
      </c>
      <c r="E188" s="20">
        <v>10695398</v>
      </c>
      <c r="F188" s="17" t="s">
        <v>51</v>
      </c>
      <c r="G188" s="19" t="s">
        <v>698</v>
      </c>
      <c r="H188" s="18">
        <v>15.273333333333333</v>
      </c>
      <c r="I188" s="17" t="s">
        <v>144</v>
      </c>
      <c r="J188" s="17" t="s">
        <v>143</v>
      </c>
      <c r="K188" s="17" t="s">
        <v>389</v>
      </c>
      <c r="L188" s="17" t="s">
        <v>1355</v>
      </c>
      <c r="M188" s="16" t="str">
        <f>HYPERLINK("http://slimages.macys.com/is/image/MCY/14815173 ")</f>
        <v xml:space="preserve">http://slimages.macys.com/is/image/MCY/14815173 </v>
      </c>
      <c r="N188" s="30"/>
    </row>
    <row r="189" spans="1:14" ht="96" x14ac:dyDescent="0.25">
      <c r="A189" s="19" t="s">
        <v>6633</v>
      </c>
      <c r="B189" s="17" t="s">
        <v>6632</v>
      </c>
      <c r="C189" s="20">
        <v>1</v>
      </c>
      <c r="D189" s="18">
        <v>79</v>
      </c>
      <c r="E189" s="20">
        <v>10695398</v>
      </c>
      <c r="F189" s="17" t="s">
        <v>51</v>
      </c>
      <c r="G189" s="19" t="s">
        <v>773</v>
      </c>
      <c r="H189" s="18">
        <v>15.273333333333333</v>
      </c>
      <c r="I189" s="17" t="s">
        <v>144</v>
      </c>
      <c r="J189" s="17" t="s">
        <v>143</v>
      </c>
      <c r="K189" s="17" t="s">
        <v>389</v>
      </c>
      <c r="L189" s="17" t="s">
        <v>1355</v>
      </c>
      <c r="M189" s="16" t="str">
        <f>HYPERLINK("http://slimages.macys.com/is/image/MCY/14815173 ")</f>
        <v xml:space="preserve">http://slimages.macys.com/is/image/MCY/14815173 </v>
      </c>
      <c r="N189" s="30"/>
    </row>
    <row r="190" spans="1:14" ht="60" x14ac:dyDescent="0.25">
      <c r="A190" s="19" t="s">
        <v>6631</v>
      </c>
      <c r="B190" s="17" t="s">
        <v>6630</v>
      </c>
      <c r="C190" s="20">
        <v>1</v>
      </c>
      <c r="D190" s="18">
        <v>69</v>
      </c>
      <c r="E190" s="20" t="s">
        <v>6627</v>
      </c>
      <c r="F190" s="17" t="s">
        <v>216</v>
      </c>
      <c r="G190" s="19" t="s">
        <v>62</v>
      </c>
      <c r="H190" s="18">
        <v>15.226666666666667</v>
      </c>
      <c r="I190" s="17" t="s">
        <v>49</v>
      </c>
      <c r="J190" s="17" t="s">
        <v>48</v>
      </c>
      <c r="K190" s="17"/>
      <c r="L190" s="17"/>
      <c r="M190" s="16" t="str">
        <f>HYPERLINK("http://slimages.macys.com/is/image/MCY/19476785 ")</f>
        <v xml:space="preserve">http://slimages.macys.com/is/image/MCY/19476785 </v>
      </c>
      <c r="N190" s="30"/>
    </row>
    <row r="191" spans="1:14" ht="60" x14ac:dyDescent="0.25">
      <c r="A191" s="19" t="s">
        <v>6629</v>
      </c>
      <c r="B191" s="17" t="s">
        <v>6628</v>
      </c>
      <c r="C191" s="20">
        <v>1</v>
      </c>
      <c r="D191" s="18">
        <v>69</v>
      </c>
      <c r="E191" s="20" t="s">
        <v>6627</v>
      </c>
      <c r="F191" s="17" t="s">
        <v>206</v>
      </c>
      <c r="G191" s="19" t="s">
        <v>22</v>
      </c>
      <c r="H191" s="18">
        <v>15.226666666666667</v>
      </c>
      <c r="I191" s="17" t="s">
        <v>49</v>
      </c>
      <c r="J191" s="17" t="s">
        <v>48</v>
      </c>
      <c r="K191" s="17"/>
      <c r="L191" s="17"/>
      <c r="M191" s="16" t="str">
        <f>HYPERLINK("http://slimages.macys.com/is/image/MCY/19476785 ")</f>
        <v xml:space="preserve">http://slimages.macys.com/is/image/MCY/19476785 </v>
      </c>
      <c r="N191" s="30"/>
    </row>
    <row r="192" spans="1:14" ht="60" x14ac:dyDescent="0.25">
      <c r="A192" s="19" t="s">
        <v>6626</v>
      </c>
      <c r="B192" s="17" t="s">
        <v>6625</v>
      </c>
      <c r="C192" s="20">
        <v>1</v>
      </c>
      <c r="D192" s="18">
        <v>79.5</v>
      </c>
      <c r="E192" s="20" t="s">
        <v>6624</v>
      </c>
      <c r="F192" s="17" t="s">
        <v>51</v>
      </c>
      <c r="G192" s="19" t="s">
        <v>271</v>
      </c>
      <c r="H192" s="18">
        <v>15.106666666666667</v>
      </c>
      <c r="I192" s="17" t="s">
        <v>540</v>
      </c>
      <c r="J192" s="17" t="s">
        <v>105</v>
      </c>
      <c r="K192" s="17"/>
      <c r="L192" s="17"/>
      <c r="M192" s="16" t="str">
        <f>HYPERLINK("http://slimages.macys.com/is/image/MCY/18890083 ")</f>
        <v xml:space="preserve">http://slimages.macys.com/is/image/MCY/18890083 </v>
      </c>
      <c r="N192" s="30"/>
    </row>
    <row r="193" spans="1:14" ht="60" x14ac:dyDescent="0.25">
      <c r="A193" s="19" t="s">
        <v>6623</v>
      </c>
      <c r="B193" s="17" t="s">
        <v>6622</v>
      </c>
      <c r="C193" s="20">
        <v>1</v>
      </c>
      <c r="D193" s="18">
        <v>60</v>
      </c>
      <c r="E193" s="20" t="s">
        <v>6619</v>
      </c>
      <c r="F193" s="17" t="s">
        <v>85</v>
      </c>
      <c r="G193" s="19" t="s">
        <v>50</v>
      </c>
      <c r="H193" s="18">
        <v>14.92</v>
      </c>
      <c r="I193" s="17" t="s">
        <v>16</v>
      </c>
      <c r="J193" s="17" t="s">
        <v>15</v>
      </c>
      <c r="K193" s="17"/>
      <c r="L193" s="17"/>
      <c r="M193" s="16" t="str">
        <f>HYPERLINK("http://slimages.macys.com/is/image/MCY/18054386 ")</f>
        <v xml:space="preserve">http://slimages.macys.com/is/image/MCY/18054386 </v>
      </c>
      <c r="N193" s="30"/>
    </row>
    <row r="194" spans="1:14" ht="60" x14ac:dyDescent="0.25">
      <c r="A194" s="19" t="s">
        <v>6621</v>
      </c>
      <c r="B194" s="17" t="s">
        <v>6620</v>
      </c>
      <c r="C194" s="20">
        <v>1</v>
      </c>
      <c r="D194" s="18">
        <v>60</v>
      </c>
      <c r="E194" s="20" t="s">
        <v>6619</v>
      </c>
      <c r="F194" s="17" t="s">
        <v>85</v>
      </c>
      <c r="G194" s="19" t="s">
        <v>22</v>
      </c>
      <c r="H194" s="18">
        <v>14.92</v>
      </c>
      <c r="I194" s="17" t="s">
        <v>16</v>
      </c>
      <c r="J194" s="17" t="s">
        <v>15</v>
      </c>
      <c r="K194" s="17"/>
      <c r="L194" s="17"/>
      <c r="M194" s="16" t="str">
        <f>HYPERLINK("http://slimages.macys.com/is/image/MCY/18054386 ")</f>
        <v xml:space="preserve">http://slimages.macys.com/is/image/MCY/18054386 </v>
      </c>
      <c r="N194" s="30"/>
    </row>
    <row r="195" spans="1:14" ht="60" x14ac:dyDescent="0.25">
      <c r="A195" s="19" t="s">
        <v>3730</v>
      </c>
      <c r="B195" s="17" t="s">
        <v>3729</v>
      </c>
      <c r="C195" s="20">
        <v>1</v>
      </c>
      <c r="D195" s="18">
        <v>59.25</v>
      </c>
      <c r="E195" s="20" t="s">
        <v>3726</v>
      </c>
      <c r="F195" s="17" t="s">
        <v>272</v>
      </c>
      <c r="G195" s="19" t="s">
        <v>669</v>
      </c>
      <c r="H195" s="18">
        <v>14.913333333333334</v>
      </c>
      <c r="I195" s="17" t="s">
        <v>33</v>
      </c>
      <c r="J195" s="17" t="s">
        <v>32</v>
      </c>
      <c r="K195" s="17"/>
      <c r="L195" s="17"/>
      <c r="M195" s="16" t="str">
        <f>HYPERLINK("http://slimages.macys.com/is/image/MCY/19722949 ")</f>
        <v xml:space="preserve">http://slimages.macys.com/is/image/MCY/19722949 </v>
      </c>
      <c r="N195" s="30"/>
    </row>
    <row r="196" spans="1:14" ht="60" x14ac:dyDescent="0.25">
      <c r="A196" s="19" t="s">
        <v>6618</v>
      </c>
      <c r="B196" s="17" t="s">
        <v>6617</v>
      </c>
      <c r="C196" s="20">
        <v>1</v>
      </c>
      <c r="D196" s="18">
        <v>89</v>
      </c>
      <c r="E196" s="20">
        <v>7020309</v>
      </c>
      <c r="F196" s="17" t="s">
        <v>91</v>
      </c>
      <c r="G196" s="19" t="s">
        <v>116</v>
      </c>
      <c r="H196" s="18">
        <v>14.833333333333334</v>
      </c>
      <c r="I196" s="17" t="s">
        <v>111</v>
      </c>
      <c r="J196" s="17" t="s">
        <v>110</v>
      </c>
      <c r="K196" s="17"/>
      <c r="L196" s="17"/>
      <c r="M196" s="16" t="str">
        <f>HYPERLINK("http://slimages.macys.com/is/image/MCY/16687760 ")</f>
        <v xml:space="preserve">http://slimages.macys.com/is/image/MCY/16687760 </v>
      </c>
      <c r="N196" s="30"/>
    </row>
    <row r="197" spans="1:14" ht="60" x14ac:dyDescent="0.25">
      <c r="A197" s="19" t="s">
        <v>6616</v>
      </c>
      <c r="B197" s="17" t="s">
        <v>6615</v>
      </c>
      <c r="C197" s="20">
        <v>1</v>
      </c>
      <c r="D197" s="18">
        <v>89</v>
      </c>
      <c r="E197" s="20">
        <v>2321905</v>
      </c>
      <c r="F197" s="17" t="s">
        <v>70</v>
      </c>
      <c r="G197" s="19" t="s">
        <v>898</v>
      </c>
      <c r="H197" s="18">
        <v>14.666666666666668</v>
      </c>
      <c r="I197" s="17" t="s">
        <v>80</v>
      </c>
      <c r="J197" s="17" t="s">
        <v>293</v>
      </c>
      <c r="K197" s="17"/>
      <c r="L197" s="17"/>
      <c r="M197" s="16" t="str">
        <f>HYPERLINK("http://slimages.macys.com/is/image/MCY/18749426 ")</f>
        <v xml:space="preserve">http://slimages.macys.com/is/image/MCY/18749426 </v>
      </c>
      <c r="N197" s="30"/>
    </row>
    <row r="198" spans="1:14" ht="60" x14ac:dyDescent="0.25">
      <c r="A198" s="19" t="s">
        <v>6614</v>
      </c>
      <c r="B198" s="17" t="s">
        <v>6613</v>
      </c>
      <c r="C198" s="20">
        <v>1</v>
      </c>
      <c r="D198" s="18">
        <v>79</v>
      </c>
      <c r="E198" s="20" t="s">
        <v>3696</v>
      </c>
      <c r="F198" s="17" t="s">
        <v>23</v>
      </c>
      <c r="G198" s="19" t="s">
        <v>69</v>
      </c>
      <c r="H198" s="18">
        <v>14.586666666666668</v>
      </c>
      <c r="I198" s="17" t="s">
        <v>405</v>
      </c>
      <c r="J198" s="17" t="s">
        <v>404</v>
      </c>
      <c r="K198" s="17"/>
      <c r="L198" s="17"/>
      <c r="M198" s="16" t="str">
        <f>HYPERLINK("http://slimages.macys.com/is/image/MCY/19406875 ")</f>
        <v xml:space="preserve">http://slimages.macys.com/is/image/MCY/19406875 </v>
      </c>
      <c r="N198" s="30"/>
    </row>
    <row r="199" spans="1:14" ht="60" x14ac:dyDescent="0.25">
      <c r="A199" s="19" t="s">
        <v>6612</v>
      </c>
      <c r="B199" s="17" t="s">
        <v>6611</v>
      </c>
      <c r="C199" s="20">
        <v>1</v>
      </c>
      <c r="D199" s="18">
        <v>109</v>
      </c>
      <c r="E199" s="20">
        <v>9231704</v>
      </c>
      <c r="F199" s="17" t="s">
        <v>91</v>
      </c>
      <c r="G199" s="19" t="s">
        <v>271</v>
      </c>
      <c r="H199" s="18">
        <v>14.533333333333335</v>
      </c>
      <c r="I199" s="17" t="s">
        <v>138</v>
      </c>
      <c r="J199" s="17" t="s">
        <v>137</v>
      </c>
      <c r="K199" s="17"/>
      <c r="L199" s="17"/>
      <c r="M199" s="16" t="str">
        <f>HYPERLINK("http://slimages.macys.com/is/image/MCY/19196178 ")</f>
        <v xml:space="preserve">http://slimages.macys.com/is/image/MCY/19196178 </v>
      </c>
      <c r="N199" s="30"/>
    </row>
    <row r="200" spans="1:14" ht="60" x14ac:dyDescent="0.25">
      <c r="A200" s="19" t="s">
        <v>5102</v>
      </c>
      <c r="B200" s="17" t="s">
        <v>5101</v>
      </c>
      <c r="C200" s="20">
        <v>1</v>
      </c>
      <c r="D200" s="18">
        <v>59.25</v>
      </c>
      <c r="E200" s="20">
        <v>10735730</v>
      </c>
      <c r="F200" s="17" t="s">
        <v>544</v>
      </c>
      <c r="G200" s="19" t="s">
        <v>916</v>
      </c>
      <c r="H200" s="18">
        <v>14.493333333333334</v>
      </c>
      <c r="I200" s="17" t="s">
        <v>358</v>
      </c>
      <c r="J200" s="17" t="s">
        <v>143</v>
      </c>
      <c r="K200" s="17"/>
      <c r="L200" s="17"/>
      <c r="M200" s="16" t="str">
        <f>HYPERLINK("http://slimages.macys.com/is/image/MCY/19486565 ")</f>
        <v xml:space="preserve">http://slimages.macys.com/is/image/MCY/19486565 </v>
      </c>
      <c r="N200" s="30"/>
    </row>
    <row r="201" spans="1:14" ht="60" x14ac:dyDescent="0.25">
      <c r="A201" s="19" t="s">
        <v>6610</v>
      </c>
      <c r="B201" s="17" t="s">
        <v>6609</v>
      </c>
      <c r="C201" s="20">
        <v>1</v>
      </c>
      <c r="D201" s="18">
        <v>51.75</v>
      </c>
      <c r="E201" s="20">
        <v>10762542</v>
      </c>
      <c r="F201" s="17" t="s">
        <v>140</v>
      </c>
      <c r="G201" s="19" t="s">
        <v>351</v>
      </c>
      <c r="H201" s="18">
        <v>14.493333333333334</v>
      </c>
      <c r="I201" s="17" t="s">
        <v>358</v>
      </c>
      <c r="J201" s="17" t="s">
        <v>143</v>
      </c>
      <c r="K201" s="17"/>
      <c r="L201" s="17"/>
      <c r="M201" s="16" t="str">
        <f>HYPERLINK("http://slimages.macys.com/is/image/MCY/18954079 ")</f>
        <v xml:space="preserve">http://slimages.macys.com/is/image/MCY/18954079 </v>
      </c>
      <c r="N201" s="30"/>
    </row>
    <row r="202" spans="1:14" ht="60" x14ac:dyDescent="0.25">
      <c r="A202" s="19" t="s">
        <v>1193</v>
      </c>
      <c r="B202" s="17" t="s">
        <v>1192</v>
      </c>
      <c r="C202" s="20">
        <v>1</v>
      </c>
      <c r="D202" s="18">
        <v>59.25</v>
      </c>
      <c r="E202" s="20">
        <v>10735730</v>
      </c>
      <c r="F202" s="17" t="s">
        <v>544</v>
      </c>
      <c r="G202" s="19" t="s">
        <v>1191</v>
      </c>
      <c r="H202" s="18">
        <v>14.493333333333334</v>
      </c>
      <c r="I202" s="17" t="s">
        <v>358</v>
      </c>
      <c r="J202" s="17" t="s">
        <v>143</v>
      </c>
      <c r="K202" s="17"/>
      <c r="L202" s="17"/>
      <c r="M202" s="16" t="str">
        <f>HYPERLINK("http://slimages.macys.com/is/image/MCY/19486565 ")</f>
        <v xml:space="preserve">http://slimages.macys.com/is/image/MCY/19486565 </v>
      </c>
      <c r="N202" s="30"/>
    </row>
    <row r="203" spans="1:14" ht="60" x14ac:dyDescent="0.25">
      <c r="A203" s="19" t="s">
        <v>6608</v>
      </c>
      <c r="B203" s="17" t="s">
        <v>6607</v>
      </c>
      <c r="C203" s="20">
        <v>1</v>
      </c>
      <c r="D203" s="18">
        <v>55.3</v>
      </c>
      <c r="E203" s="20" t="s">
        <v>1631</v>
      </c>
      <c r="F203" s="17" t="s">
        <v>58</v>
      </c>
      <c r="G203" s="19" t="s">
        <v>74</v>
      </c>
      <c r="H203" s="18">
        <v>14.426666666666668</v>
      </c>
      <c r="I203" s="17" t="s">
        <v>42</v>
      </c>
      <c r="J203" s="17" t="s">
        <v>41</v>
      </c>
      <c r="K203" s="17"/>
      <c r="L203" s="17"/>
      <c r="M203" s="16" t="str">
        <f>HYPERLINK("http://slimages.macys.com/is/image/MCY/18757183 ")</f>
        <v xml:space="preserve">http://slimages.macys.com/is/image/MCY/18757183 </v>
      </c>
      <c r="N203" s="30"/>
    </row>
    <row r="204" spans="1:14" ht="60" x14ac:dyDescent="0.25">
      <c r="A204" s="19" t="s">
        <v>6606</v>
      </c>
      <c r="B204" s="17" t="s">
        <v>6605</v>
      </c>
      <c r="C204" s="20">
        <v>10</v>
      </c>
      <c r="D204" s="18">
        <v>55.3</v>
      </c>
      <c r="E204" s="20" t="s">
        <v>6604</v>
      </c>
      <c r="F204" s="17" t="s">
        <v>237</v>
      </c>
      <c r="G204" s="19"/>
      <c r="H204" s="18">
        <v>14.426666666666668</v>
      </c>
      <c r="I204" s="17" t="s">
        <v>42</v>
      </c>
      <c r="J204" s="17" t="s">
        <v>41</v>
      </c>
      <c r="K204" s="17"/>
      <c r="L204" s="17"/>
      <c r="M204" s="16" t="str">
        <f>HYPERLINK("http://slimages.macys.com/is/image/MCY/18917091 ")</f>
        <v xml:space="preserve">http://slimages.macys.com/is/image/MCY/18917091 </v>
      </c>
      <c r="N204" s="30"/>
    </row>
    <row r="205" spans="1:14" ht="60" x14ac:dyDescent="0.25">
      <c r="A205" s="19" t="s">
        <v>6603</v>
      </c>
      <c r="B205" s="17" t="s">
        <v>6602</v>
      </c>
      <c r="C205" s="20">
        <v>1</v>
      </c>
      <c r="D205" s="18">
        <v>69</v>
      </c>
      <c r="E205" s="20">
        <v>10802044</v>
      </c>
      <c r="F205" s="17" t="s">
        <v>1356</v>
      </c>
      <c r="G205" s="19" t="s">
        <v>197</v>
      </c>
      <c r="H205" s="18">
        <v>14.26</v>
      </c>
      <c r="I205" s="17" t="s">
        <v>144</v>
      </c>
      <c r="J205" s="17" t="s">
        <v>143</v>
      </c>
      <c r="K205" s="17"/>
      <c r="L205" s="17"/>
      <c r="M205" s="16" t="str">
        <f>HYPERLINK("http://slimages.macys.com/is/image/MCY/19286129 ")</f>
        <v xml:space="preserve">http://slimages.macys.com/is/image/MCY/19286129 </v>
      </c>
      <c r="N205" s="30"/>
    </row>
    <row r="206" spans="1:14" ht="60" x14ac:dyDescent="0.25">
      <c r="A206" s="19" t="s">
        <v>6601</v>
      </c>
      <c r="B206" s="17" t="s">
        <v>6600</v>
      </c>
      <c r="C206" s="20">
        <v>1</v>
      </c>
      <c r="D206" s="18">
        <v>69.5</v>
      </c>
      <c r="E206" s="20" t="s">
        <v>6599</v>
      </c>
      <c r="F206" s="17" t="s">
        <v>1382</v>
      </c>
      <c r="G206" s="19" t="s">
        <v>74</v>
      </c>
      <c r="H206" s="18">
        <v>14.000000000000002</v>
      </c>
      <c r="I206" s="17" t="s">
        <v>106</v>
      </c>
      <c r="J206" s="17" t="s">
        <v>105</v>
      </c>
      <c r="K206" s="17"/>
      <c r="L206" s="17"/>
      <c r="M206" s="16" t="str">
        <f>HYPERLINK("http://slimages.macys.com/is/image/MCY/18474774 ")</f>
        <v xml:space="preserve">http://slimages.macys.com/is/image/MCY/18474774 </v>
      </c>
      <c r="N206" s="30"/>
    </row>
    <row r="207" spans="1:14" ht="60" x14ac:dyDescent="0.25">
      <c r="A207" s="19" t="s">
        <v>4456</v>
      </c>
      <c r="B207" s="17" t="s">
        <v>4455</v>
      </c>
      <c r="C207" s="20">
        <v>1</v>
      </c>
      <c r="D207" s="18">
        <v>69.5</v>
      </c>
      <c r="E207" s="20" t="s">
        <v>3677</v>
      </c>
      <c r="F207" s="17" t="s">
        <v>23</v>
      </c>
      <c r="G207" s="19" t="s">
        <v>62</v>
      </c>
      <c r="H207" s="18">
        <v>14.000000000000002</v>
      </c>
      <c r="I207" s="17" t="s">
        <v>106</v>
      </c>
      <c r="J207" s="17" t="s">
        <v>105</v>
      </c>
      <c r="K207" s="17"/>
      <c r="L207" s="17"/>
      <c r="M207" s="16" t="str">
        <f>HYPERLINK("http://slimages.macys.com/is/image/MCY/19027336 ")</f>
        <v xml:space="preserve">http://slimages.macys.com/is/image/MCY/19027336 </v>
      </c>
      <c r="N207" s="30"/>
    </row>
    <row r="208" spans="1:14" ht="60" x14ac:dyDescent="0.25">
      <c r="A208" s="19" t="s">
        <v>6598</v>
      </c>
      <c r="B208" s="17" t="s">
        <v>6597</v>
      </c>
      <c r="C208" s="20">
        <v>1</v>
      </c>
      <c r="D208" s="18">
        <v>69.5</v>
      </c>
      <c r="E208" s="20" t="s">
        <v>6596</v>
      </c>
      <c r="F208" s="17" t="s">
        <v>51</v>
      </c>
      <c r="G208" s="19" t="s">
        <v>62</v>
      </c>
      <c r="H208" s="18">
        <v>14.000000000000002</v>
      </c>
      <c r="I208" s="17" t="s">
        <v>106</v>
      </c>
      <c r="J208" s="17" t="s">
        <v>105</v>
      </c>
      <c r="K208" s="17"/>
      <c r="L208" s="17"/>
      <c r="M208" s="16" t="str">
        <f>HYPERLINK("http://slimages.macys.com/is/image/MCY/19900083 ")</f>
        <v xml:space="preserve">http://slimages.macys.com/is/image/MCY/19900083 </v>
      </c>
      <c r="N208" s="30"/>
    </row>
    <row r="209" spans="1:14" ht="60" x14ac:dyDescent="0.25">
      <c r="A209" s="19" t="s">
        <v>6595</v>
      </c>
      <c r="B209" s="17" t="s">
        <v>6594</v>
      </c>
      <c r="C209" s="20">
        <v>1</v>
      </c>
      <c r="D209" s="18">
        <v>65</v>
      </c>
      <c r="E209" s="20" t="s">
        <v>6593</v>
      </c>
      <c r="F209" s="17" t="s">
        <v>51</v>
      </c>
      <c r="G209" s="19" t="s">
        <v>62</v>
      </c>
      <c r="H209" s="18">
        <v>13.833333333333336</v>
      </c>
      <c r="I209" s="17" t="s">
        <v>80</v>
      </c>
      <c r="J209" s="17" t="s">
        <v>531</v>
      </c>
      <c r="K209" s="17"/>
      <c r="L209" s="17"/>
      <c r="M209" s="16" t="str">
        <f>HYPERLINK("http://slimages.macys.com/is/image/MCY/18371390 ")</f>
        <v xml:space="preserve">http://slimages.macys.com/is/image/MCY/18371390 </v>
      </c>
      <c r="N209" s="30"/>
    </row>
    <row r="210" spans="1:14" ht="60" x14ac:dyDescent="0.25">
      <c r="A210" s="19" t="s">
        <v>5090</v>
      </c>
      <c r="B210" s="17" t="s">
        <v>5089</v>
      </c>
      <c r="C210" s="20">
        <v>1</v>
      </c>
      <c r="D210" s="18">
        <v>69</v>
      </c>
      <c r="E210" s="20">
        <v>10804950</v>
      </c>
      <c r="F210" s="17" t="s">
        <v>282</v>
      </c>
      <c r="G210" s="19" t="s">
        <v>271</v>
      </c>
      <c r="H210" s="18">
        <v>13.799999999999999</v>
      </c>
      <c r="I210" s="17" t="s">
        <v>358</v>
      </c>
      <c r="J210" s="17" t="s">
        <v>554</v>
      </c>
      <c r="K210" s="17"/>
      <c r="L210" s="17"/>
      <c r="M210" s="16" t="str">
        <f>HYPERLINK("http://slimages.macys.com/is/image/MCY/19205603 ")</f>
        <v xml:space="preserve">http://slimages.macys.com/is/image/MCY/19205603 </v>
      </c>
      <c r="N210" s="30"/>
    </row>
    <row r="211" spans="1:14" ht="60" x14ac:dyDescent="0.25">
      <c r="A211" s="19" t="s">
        <v>6592</v>
      </c>
      <c r="B211" s="17" t="s">
        <v>6591</v>
      </c>
      <c r="C211" s="20">
        <v>1</v>
      </c>
      <c r="D211" s="18">
        <v>89</v>
      </c>
      <c r="E211" s="20">
        <v>2321709</v>
      </c>
      <c r="F211" s="17" t="s">
        <v>23</v>
      </c>
      <c r="G211" s="19" t="s">
        <v>17</v>
      </c>
      <c r="H211" s="18">
        <v>13.666666666666666</v>
      </c>
      <c r="I211" s="17" t="s">
        <v>80</v>
      </c>
      <c r="J211" s="17" t="s">
        <v>293</v>
      </c>
      <c r="K211" s="17"/>
      <c r="L211" s="17"/>
      <c r="M211" s="16" t="str">
        <f>HYPERLINK("http://slimages.macys.com/is/image/MCY/18947620 ")</f>
        <v xml:space="preserve">http://slimages.macys.com/is/image/MCY/18947620 </v>
      </c>
      <c r="N211" s="30"/>
    </row>
    <row r="212" spans="1:14" ht="72" x14ac:dyDescent="0.25">
      <c r="A212" s="19" t="s">
        <v>6590</v>
      </c>
      <c r="B212" s="17" t="s">
        <v>6589</v>
      </c>
      <c r="C212" s="20">
        <v>1</v>
      </c>
      <c r="D212" s="18">
        <v>68</v>
      </c>
      <c r="E212" s="20" t="s">
        <v>6588</v>
      </c>
      <c r="F212" s="17" t="s">
        <v>51</v>
      </c>
      <c r="G212" s="19" t="s">
        <v>682</v>
      </c>
      <c r="H212" s="18">
        <v>13.600000000000001</v>
      </c>
      <c r="I212" s="17" t="s">
        <v>148</v>
      </c>
      <c r="J212" s="17" t="s">
        <v>4509</v>
      </c>
      <c r="K212" s="17" t="s">
        <v>389</v>
      </c>
      <c r="L212" s="17" t="s">
        <v>6587</v>
      </c>
      <c r="M212" s="16" t="str">
        <f>HYPERLINK("http://slimages.macys.com/is/image/MCY/15333674 ")</f>
        <v xml:space="preserve">http://slimages.macys.com/is/image/MCY/15333674 </v>
      </c>
      <c r="N212" s="30"/>
    </row>
    <row r="213" spans="1:14" ht="84" x14ac:dyDescent="0.25">
      <c r="A213" s="19" t="s">
        <v>6586</v>
      </c>
      <c r="B213" s="17" t="s">
        <v>6585</v>
      </c>
      <c r="C213" s="20">
        <v>1</v>
      </c>
      <c r="D213" s="18">
        <v>58</v>
      </c>
      <c r="E213" s="20" t="s">
        <v>6584</v>
      </c>
      <c r="F213" s="17" t="s">
        <v>575</v>
      </c>
      <c r="G213" s="19" t="s">
        <v>682</v>
      </c>
      <c r="H213" s="18">
        <v>13.533333333333333</v>
      </c>
      <c r="I213" s="17" t="s">
        <v>148</v>
      </c>
      <c r="J213" s="17" t="s">
        <v>4509</v>
      </c>
      <c r="K213" s="17" t="s">
        <v>389</v>
      </c>
      <c r="L213" s="17" t="s">
        <v>6583</v>
      </c>
      <c r="M213" s="16" t="str">
        <f>HYPERLINK("http://slimages.macys.com/is/image/MCY/12420785 ")</f>
        <v xml:space="preserve">http://slimages.macys.com/is/image/MCY/12420785 </v>
      </c>
      <c r="N213" s="30"/>
    </row>
    <row r="214" spans="1:14" ht="60" x14ac:dyDescent="0.25">
      <c r="A214" s="19" t="s">
        <v>6582</v>
      </c>
      <c r="B214" s="17" t="s">
        <v>6581</v>
      </c>
      <c r="C214" s="20">
        <v>1</v>
      </c>
      <c r="D214" s="18">
        <v>69</v>
      </c>
      <c r="E214" s="20">
        <v>10766134</v>
      </c>
      <c r="F214" s="17" t="s">
        <v>23</v>
      </c>
      <c r="G214" s="19"/>
      <c r="H214" s="18">
        <v>13.34</v>
      </c>
      <c r="I214" s="17" t="s">
        <v>1307</v>
      </c>
      <c r="J214" s="17" t="s">
        <v>1306</v>
      </c>
      <c r="K214" s="17"/>
      <c r="L214" s="17"/>
      <c r="M214" s="16" t="str">
        <f>HYPERLINK("http://slimages.macys.com/is/image/MCY/18628371 ")</f>
        <v xml:space="preserve">http://slimages.macys.com/is/image/MCY/18628371 </v>
      </c>
      <c r="N214" s="30"/>
    </row>
    <row r="215" spans="1:14" ht="60" x14ac:dyDescent="0.25">
      <c r="A215" s="19" t="s">
        <v>5796</v>
      </c>
      <c r="B215" s="17" t="s">
        <v>5795</v>
      </c>
      <c r="C215" s="20">
        <v>1</v>
      </c>
      <c r="D215" s="18">
        <v>74</v>
      </c>
      <c r="E215" s="20" t="s">
        <v>1936</v>
      </c>
      <c r="F215" s="17" t="s">
        <v>1356</v>
      </c>
      <c r="G215" s="19" t="s">
        <v>74</v>
      </c>
      <c r="H215" s="18">
        <v>13.333333333333334</v>
      </c>
      <c r="I215" s="17" t="s">
        <v>148</v>
      </c>
      <c r="J215" s="17" t="s">
        <v>409</v>
      </c>
      <c r="K215" s="17"/>
      <c r="L215" s="17"/>
      <c r="M215" s="16" t="str">
        <f>HYPERLINK("http://slimages.macys.com/is/image/MCY/18860435 ")</f>
        <v xml:space="preserve">http://slimages.macys.com/is/image/MCY/18860435 </v>
      </c>
      <c r="N215" s="30"/>
    </row>
    <row r="216" spans="1:14" ht="60" x14ac:dyDescent="0.25">
      <c r="A216" s="19" t="s">
        <v>5082</v>
      </c>
      <c r="B216" s="17" t="s">
        <v>5081</v>
      </c>
      <c r="C216" s="20">
        <v>1</v>
      </c>
      <c r="D216" s="18">
        <v>74</v>
      </c>
      <c r="E216" s="20" t="s">
        <v>1936</v>
      </c>
      <c r="F216" s="17" t="s">
        <v>1382</v>
      </c>
      <c r="G216" s="19" t="s">
        <v>57</v>
      </c>
      <c r="H216" s="18">
        <v>13.333333333333334</v>
      </c>
      <c r="I216" s="17" t="s">
        <v>148</v>
      </c>
      <c r="J216" s="17" t="s">
        <v>409</v>
      </c>
      <c r="K216" s="17"/>
      <c r="L216" s="17"/>
      <c r="M216" s="16" t="str">
        <f>HYPERLINK("http://slimages.macys.com/is/image/MCY/18860435 ")</f>
        <v xml:space="preserve">http://slimages.macys.com/is/image/MCY/18860435 </v>
      </c>
      <c r="N216" s="30"/>
    </row>
    <row r="217" spans="1:14" ht="60" x14ac:dyDescent="0.25">
      <c r="A217" s="19" t="s">
        <v>6580</v>
      </c>
      <c r="B217" s="17" t="s">
        <v>6579</v>
      </c>
      <c r="C217" s="20">
        <v>1</v>
      </c>
      <c r="D217" s="18">
        <v>74</v>
      </c>
      <c r="E217" s="20" t="s">
        <v>1936</v>
      </c>
      <c r="F217" s="17" t="s">
        <v>1382</v>
      </c>
      <c r="G217" s="19" t="s">
        <v>74</v>
      </c>
      <c r="H217" s="18">
        <v>13.333333333333334</v>
      </c>
      <c r="I217" s="17" t="s">
        <v>148</v>
      </c>
      <c r="J217" s="17" t="s">
        <v>409</v>
      </c>
      <c r="K217" s="17"/>
      <c r="L217" s="17"/>
      <c r="M217" s="16" t="str">
        <f>HYPERLINK("http://slimages.macys.com/is/image/MCY/18860435 ")</f>
        <v xml:space="preserve">http://slimages.macys.com/is/image/MCY/18860435 </v>
      </c>
      <c r="N217" s="30"/>
    </row>
    <row r="218" spans="1:14" ht="60" x14ac:dyDescent="0.25">
      <c r="A218" s="19" t="s">
        <v>6578</v>
      </c>
      <c r="B218" s="17" t="s">
        <v>6577</v>
      </c>
      <c r="C218" s="20">
        <v>1</v>
      </c>
      <c r="D218" s="18">
        <v>69.5</v>
      </c>
      <c r="E218" s="20" t="s">
        <v>6576</v>
      </c>
      <c r="F218" s="17" t="s">
        <v>51</v>
      </c>
      <c r="G218" s="19"/>
      <c r="H218" s="18">
        <v>13.206666666666667</v>
      </c>
      <c r="I218" s="17" t="s">
        <v>540</v>
      </c>
      <c r="J218" s="17" t="s">
        <v>105</v>
      </c>
      <c r="K218" s="17"/>
      <c r="L218" s="17"/>
      <c r="M218" s="16" t="str">
        <f>HYPERLINK("http://slimages.macys.com/is/image/MCY/18889983 ")</f>
        <v xml:space="preserve">http://slimages.macys.com/is/image/MCY/18889983 </v>
      </c>
      <c r="N218" s="30"/>
    </row>
    <row r="219" spans="1:14" ht="60" x14ac:dyDescent="0.25">
      <c r="A219" s="19" t="s">
        <v>6575</v>
      </c>
      <c r="B219" s="17" t="s">
        <v>6574</v>
      </c>
      <c r="C219" s="20">
        <v>1</v>
      </c>
      <c r="D219" s="18">
        <v>79</v>
      </c>
      <c r="E219" s="20">
        <v>8160314</v>
      </c>
      <c r="F219" s="17" t="s">
        <v>91</v>
      </c>
      <c r="G219" s="19" t="s">
        <v>43</v>
      </c>
      <c r="H219" s="18">
        <v>13.166666666666668</v>
      </c>
      <c r="I219" s="17" t="s">
        <v>129</v>
      </c>
      <c r="J219" s="17" t="s">
        <v>128</v>
      </c>
      <c r="K219" s="17"/>
      <c r="L219" s="17"/>
      <c r="M219" s="16" t="str">
        <f>HYPERLINK("http://slimages.macys.com/is/image/MCY/18210400 ")</f>
        <v xml:space="preserve">http://slimages.macys.com/is/image/MCY/18210400 </v>
      </c>
      <c r="N219" s="30"/>
    </row>
    <row r="220" spans="1:14" ht="60" x14ac:dyDescent="0.25">
      <c r="A220" s="19" t="s">
        <v>6573</v>
      </c>
      <c r="B220" s="17" t="s">
        <v>6572</v>
      </c>
      <c r="C220" s="20">
        <v>1</v>
      </c>
      <c r="D220" s="18">
        <v>69.5</v>
      </c>
      <c r="E220" s="20" t="s">
        <v>4432</v>
      </c>
      <c r="F220" s="17" t="s">
        <v>85</v>
      </c>
      <c r="G220" s="19" t="s">
        <v>139</v>
      </c>
      <c r="H220" s="18">
        <v>13.086666666666668</v>
      </c>
      <c r="I220" s="17" t="s">
        <v>1891</v>
      </c>
      <c r="J220" s="17" t="s">
        <v>67</v>
      </c>
      <c r="K220" s="17"/>
      <c r="L220" s="17"/>
      <c r="M220" s="16" t="str">
        <f>HYPERLINK("http://slimages.macys.com/is/image/MCY/16862309 ")</f>
        <v xml:space="preserve">http://slimages.macys.com/is/image/MCY/16862309 </v>
      </c>
      <c r="N220" s="30"/>
    </row>
    <row r="221" spans="1:14" ht="60" x14ac:dyDescent="0.25">
      <c r="A221" s="19" t="s">
        <v>6571</v>
      </c>
      <c r="B221" s="17" t="s">
        <v>6570</v>
      </c>
      <c r="C221" s="20">
        <v>1</v>
      </c>
      <c r="D221" s="18">
        <v>69.5</v>
      </c>
      <c r="E221" s="20" t="s">
        <v>3623</v>
      </c>
      <c r="F221" s="17" t="s">
        <v>28</v>
      </c>
      <c r="G221" s="19" t="s">
        <v>139</v>
      </c>
      <c r="H221" s="18">
        <v>13.086666666666668</v>
      </c>
      <c r="I221" s="17" t="s">
        <v>1891</v>
      </c>
      <c r="J221" s="17" t="s">
        <v>2435</v>
      </c>
      <c r="K221" s="17"/>
      <c r="L221" s="17"/>
      <c r="M221" s="16" t="str">
        <f>HYPERLINK("http://slimages.macys.com/is/image/MCY/19191238 ")</f>
        <v xml:space="preserve">http://slimages.macys.com/is/image/MCY/19191238 </v>
      </c>
      <c r="N221" s="30"/>
    </row>
    <row r="222" spans="1:14" ht="60" x14ac:dyDescent="0.25">
      <c r="A222" s="19" t="s">
        <v>6569</v>
      </c>
      <c r="B222" s="17" t="s">
        <v>6568</v>
      </c>
      <c r="C222" s="20">
        <v>1</v>
      </c>
      <c r="D222" s="18">
        <v>69.5</v>
      </c>
      <c r="E222" s="20" t="s">
        <v>2728</v>
      </c>
      <c r="F222" s="17" t="s">
        <v>330</v>
      </c>
      <c r="G222" s="19"/>
      <c r="H222" s="18">
        <v>13.086666666666668</v>
      </c>
      <c r="I222" s="17" t="s">
        <v>1891</v>
      </c>
      <c r="J222" s="17" t="s">
        <v>2435</v>
      </c>
      <c r="K222" s="17"/>
      <c r="L222" s="17"/>
      <c r="M222" s="16" t="str">
        <f>HYPERLINK("http://slimages.macys.com/is/image/MCY/19506604 ")</f>
        <v xml:space="preserve">http://slimages.macys.com/is/image/MCY/19506604 </v>
      </c>
      <c r="N222" s="30"/>
    </row>
    <row r="223" spans="1:14" ht="60" x14ac:dyDescent="0.25">
      <c r="A223" s="19" t="s">
        <v>6567</v>
      </c>
      <c r="B223" s="17" t="s">
        <v>6566</v>
      </c>
      <c r="C223" s="20">
        <v>1</v>
      </c>
      <c r="D223" s="18">
        <v>69.5</v>
      </c>
      <c r="E223" s="20" t="s">
        <v>6565</v>
      </c>
      <c r="F223" s="17" t="s">
        <v>51</v>
      </c>
      <c r="G223" s="19"/>
      <c r="H223" s="18">
        <v>13.086666666666668</v>
      </c>
      <c r="I223" s="17" t="s">
        <v>1891</v>
      </c>
      <c r="J223" s="17" t="s">
        <v>2435</v>
      </c>
      <c r="K223" s="17"/>
      <c r="L223" s="17"/>
      <c r="M223" s="16" t="str">
        <f>HYPERLINK("http://slimages.macys.com/is/image/MCY/21538235 ")</f>
        <v xml:space="preserve">http://slimages.macys.com/is/image/MCY/21538235 </v>
      </c>
      <c r="N223" s="30"/>
    </row>
    <row r="224" spans="1:14" ht="60" x14ac:dyDescent="0.25">
      <c r="A224" s="19" t="s">
        <v>6564</v>
      </c>
      <c r="B224" s="17" t="s">
        <v>6563</v>
      </c>
      <c r="C224" s="20">
        <v>2</v>
      </c>
      <c r="D224" s="18">
        <v>69.5</v>
      </c>
      <c r="E224" s="20" t="s">
        <v>2728</v>
      </c>
      <c r="F224" s="17" t="s">
        <v>330</v>
      </c>
      <c r="G224" s="19" t="s">
        <v>271</v>
      </c>
      <c r="H224" s="18">
        <v>13.086666666666668</v>
      </c>
      <c r="I224" s="17" t="s">
        <v>1891</v>
      </c>
      <c r="J224" s="17" t="s">
        <v>2435</v>
      </c>
      <c r="K224" s="17"/>
      <c r="L224" s="17"/>
      <c r="M224" s="16" t="str">
        <f>HYPERLINK("http://slimages.macys.com/is/image/MCY/19506604 ")</f>
        <v xml:space="preserve">http://slimages.macys.com/is/image/MCY/19506604 </v>
      </c>
      <c r="N224" s="30"/>
    </row>
    <row r="225" spans="1:14" ht="60" x14ac:dyDescent="0.25">
      <c r="A225" s="19" t="s">
        <v>6562</v>
      </c>
      <c r="B225" s="17" t="s">
        <v>6561</v>
      </c>
      <c r="C225" s="20">
        <v>1</v>
      </c>
      <c r="D225" s="18">
        <v>69.5</v>
      </c>
      <c r="E225" s="20" t="s">
        <v>5066</v>
      </c>
      <c r="F225" s="17" t="s">
        <v>58</v>
      </c>
      <c r="G225" s="19" t="s">
        <v>139</v>
      </c>
      <c r="H225" s="18">
        <v>13.086666666666668</v>
      </c>
      <c r="I225" s="17" t="s">
        <v>1891</v>
      </c>
      <c r="J225" s="17" t="s">
        <v>2435</v>
      </c>
      <c r="K225" s="17"/>
      <c r="L225" s="17"/>
      <c r="M225" s="16" t="str">
        <f>HYPERLINK("http://slimages.macys.com/is/image/MCY/19186640 ")</f>
        <v xml:space="preserve">http://slimages.macys.com/is/image/MCY/19186640 </v>
      </c>
      <c r="N225" s="30"/>
    </row>
    <row r="226" spans="1:14" ht="60" x14ac:dyDescent="0.25">
      <c r="A226" s="19" t="s">
        <v>6560</v>
      </c>
      <c r="B226" s="17" t="s">
        <v>6559</v>
      </c>
      <c r="C226" s="20">
        <v>1</v>
      </c>
      <c r="D226" s="18">
        <v>69.5</v>
      </c>
      <c r="E226" s="20" t="s">
        <v>6410</v>
      </c>
      <c r="F226" s="17" t="s">
        <v>206</v>
      </c>
      <c r="G226" s="19" t="s">
        <v>139</v>
      </c>
      <c r="H226" s="18">
        <v>13.086666666666668</v>
      </c>
      <c r="I226" s="17" t="s">
        <v>1891</v>
      </c>
      <c r="J226" s="17" t="s">
        <v>2435</v>
      </c>
      <c r="K226" s="17"/>
      <c r="L226" s="17"/>
      <c r="M226" s="16" t="str">
        <f>HYPERLINK("http://slimages.macys.com/is/image/MCY/19008837 ")</f>
        <v xml:space="preserve">http://slimages.macys.com/is/image/MCY/19008837 </v>
      </c>
      <c r="N226" s="30"/>
    </row>
    <row r="227" spans="1:14" ht="60" x14ac:dyDescent="0.25">
      <c r="A227" s="19" t="s">
        <v>6558</v>
      </c>
      <c r="B227" s="17" t="s">
        <v>6557</v>
      </c>
      <c r="C227" s="20">
        <v>1</v>
      </c>
      <c r="D227" s="18">
        <v>69.5</v>
      </c>
      <c r="E227" s="20" t="s">
        <v>3620</v>
      </c>
      <c r="F227" s="17" t="s">
        <v>51</v>
      </c>
      <c r="G227" s="19"/>
      <c r="H227" s="18">
        <v>13.086666666666668</v>
      </c>
      <c r="I227" s="17" t="s">
        <v>1891</v>
      </c>
      <c r="J227" s="17" t="s">
        <v>2435</v>
      </c>
      <c r="K227" s="17"/>
      <c r="L227" s="17"/>
      <c r="M227" s="16" t="str">
        <f>HYPERLINK("http://slimages.macys.com/is/image/MCY/19190044 ")</f>
        <v xml:space="preserve">http://slimages.macys.com/is/image/MCY/19190044 </v>
      </c>
      <c r="N227" s="30"/>
    </row>
    <row r="228" spans="1:14" ht="60" x14ac:dyDescent="0.25">
      <c r="A228" s="19" t="s">
        <v>6556</v>
      </c>
      <c r="B228" s="17" t="s">
        <v>6555</v>
      </c>
      <c r="C228" s="20">
        <v>1</v>
      </c>
      <c r="D228" s="18">
        <v>69.5</v>
      </c>
      <c r="E228" s="20" t="s">
        <v>5066</v>
      </c>
      <c r="F228" s="17" t="s">
        <v>206</v>
      </c>
      <c r="G228" s="19" t="s">
        <v>271</v>
      </c>
      <c r="H228" s="18">
        <v>13.086666666666668</v>
      </c>
      <c r="I228" s="17" t="s">
        <v>1891</v>
      </c>
      <c r="J228" s="17" t="s">
        <v>2435</v>
      </c>
      <c r="K228" s="17"/>
      <c r="L228" s="17"/>
      <c r="M228" s="16" t="str">
        <f>HYPERLINK("http://slimages.macys.com/is/image/MCY/19186640 ")</f>
        <v xml:space="preserve">http://slimages.macys.com/is/image/MCY/19186640 </v>
      </c>
      <c r="N228" s="30"/>
    </row>
    <row r="229" spans="1:14" ht="60" x14ac:dyDescent="0.25">
      <c r="A229" s="19" t="s">
        <v>6554</v>
      </c>
      <c r="B229" s="17" t="s">
        <v>6553</v>
      </c>
      <c r="C229" s="20">
        <v>1</v>
      </c>
      <c r="D229" s="18">
        <v>69.5</v>
      </c>
      <c r="E229" s="20" t="s">
        <v>3609</v>
      </c>
      <c r="F229" s="17" t="s">
        <v>85</v>
      </c>
      <c r="G229" s="19" t="s">
        <v>351</v>
      </c>
      <c r="H229" s="18">
        <v>13.086666666666668</v>
      </c>
      <c r="I229" s="17" t="s">
        <v>1891</v>
      </c>
      <c r="J229" s="17" t="s">
        <v>67</v>
      </c>
      <c r="K229" s="17"/>
      <c r="L229" s="17"/>
      <c r="M229" s="16" t="str">
        <f>HYPERLINK("http://slimages.macys.com/is/image/MCY/18344571 ")</f>
        <v xml:space="preserve">http://slimages.macys.com/is/image/MCY/18344571 </v>
      </c>
      <c r="N229" s="30"/>
    </row>
    <row r="230" spans="1:14" ht="60" x14ac:dyDescent="0.25">
      <c r="A230" s="19" t="s">
        <v>3619</v>
      </c>
      <c r="B230" s="17" t="s">
        <v>3618</v>
      </c>
      <c r="C230" s="20">
        <v>1</v>
      </c>
      <c r="D230" s="18">
        <v>69.5</v>
      </c>
      <c r="E230" s="20" t="s">
        <v>452</v>
      </c>
      <c r="F230" s="17" t="s">
        <v>91</v>
      </c>
      <c r="G230" s="19" t="s">
        <v>69</v>
      </c>
      <c r="H230" s="18">
        <v>13.086666666666668</v>
      </c>
      <c r="I230" s="17" t="s">
        <v>56</v>
      </c>
      <c r="J230" s="17" t="s">
        <v>55</v>
      </c>
      <c r="K230" s="17"/>
      <c r="L230" s="17"/>
      <c r="M230" s="16" t="str">
        <f>HYPERLINK("http://slimages.macys.com/is/image/MCY/19395484 ")</f>
        <v xml:space="preserve">http://slimages.macys.com/is/image/MCY/19395484 </v>
      </c>
      <c r="N230" s="30"/>
    </row>
    <row r="231" spans="1:14" ht="60" x14ac:dyDescent="0.25">
      <c r="A231" s="19" t="s">
        <v>6552</v>
      </c>
      <c r="B231" s="17" t="s">
        <v>6551</v>
      </c>
      <c r="C231" s="20">
        <v>1</v>
      </c>
      <c r="D231" s="18">
        <v>69.5</v>
      </c>
      <c r="E231" s="20" t="s">
        <v>4435</v>
      </c>
      <c r="F231" s="17" t="s">
        <v>206</v>
      </c>
      <c r="G231" s="19" t="s">
        <v>658</v>
      </c>
      <c r="H231" s="18">
        <v>13.086666666666668</v>
      </c>
      <c r="I231" s="17" t="s">
        <v>68</v>
      </c>
      <c r="J231" s="17" t="s">
        <v>67</v>
      </c>
      <c r="K231" s="17"/>
      <c r="L231" s="17"/>
      <c r="M231" s="16" t="str">
        <f>HYPERLINK("http://slimages.macys.com/is/image/MCY/16591972 ")</f>
        <v xml:space="preserve">http://slimages.macys.com/is/image/MCY/16591972 </v>
      </c>
      <c r="N231" s="30"/>
    </row>
    <row r="232" spans="1:14" ht="60" x14ac:dyDescent="0.25">
      <c r="A232" s="19" t="s">
        <v>6550</v>
      </c>
      <c r="B232" s="17" t="s">
        <v>6549</v>
      </c>
      <c r="C232" s="20">
        <v>1</v>
      </c>
      <c r="D232" s="18">
        <v>69.5</v>
      </c>
      <c r="E232" s="20" t="s">
        <v>1160</v>
      </c>
      <c r="F232" s="17" t="s">
        <v>51</v>
      </c>
      <c r="G232" s="19" t="s">
        <v>69</v>
      </c>
      <c r="H232" s="18">
        <v>13.086666666666668</v>
      </c>
      <c r="I232" s="17" t="s">
        <v>68</v>
      </c>
      <c r="J232" s="17" t="s">
        <v>67</v>
      </c>
      <c r="K232" s="17"/>
      <c r="L232" s="17"/>
      <c r="M232" s="16" t="str">
        <f>HYPERLINK("http://slimages.macys.com/is/image/MCY/19744652 ")</f>
        <v xml:space="preserve">http://slimages.macys.com/is/image/MCY/19744652 </v>
      </c>
      <c r="N232" s="30"/>
    </row>
    <row r="233" spans="1:14" ht="60" x14ac:dyDescent="0.25">
      <c r="A233" s="19" t="s">
        <v>6548</v>
      </c>
      <c r="B233" s="17" t="s">
        <v>6547</v>
      </c>
      <c r="C233" s="20">
        <v>1</v>
      </c>
      <c r="D233" s="18">
        <v>69.5</v>
      </c>
      <c r="E233" s="20" t="s">
        <v>1160</v>
      </c>
      <c r="F233" s="17" t="s">
        <v>51</v>
      </c>
      <c r="G233" s="19" t="s">
        <v>74</v>
      </c>
      <c r="H233" s="18">
        <v>13.086666666666668</v>
      </c>
      <c r="I233" s="17" t="s">
        <v>68</v>
      </c>
      <c r="J233" s="17" t="s">
        <v>67</v>
      </c>
      <c r="K233" s="17"/>
      <c r="L233" s="17"/>
      <c r="M233" s="16" t="str">
        <f>HYPERLINK("http://slimages.macys.com/is/image/MCY/19744652 ")</f>
        <v xml:space="preserve">http://slimages.macys.com/is/image/MCY/19744652 </v>
      </c>
      <c r="N233" s="30"/>
    </row>
    <row r="234" spans="1:14" ht="60" x14ac:dyDescent="0.25">
      <c r="A234" s="19" t="s">
        <v>6546</v>
      </c>
      <c r="B234" s="17" t="s">
        <v>6545</v>
      </c>
      <c r="C234" s="20">
        <v>1</v>
      </c>
      <c r="D234" s="18">
        <v>69.5</v>
      </c>
      <c r="E234" s="20" t="s">
        <v>443</v>
      </c>
      <c r="F234" s="17" t="s">
        <v>535</v>
      </c>
      <c r="G234" s="19" t="s">
        <v>69</v>
      </c>
      <c r="H234" s="18">
        <v>13.086666666666668</v>
      </c>
      <c r="I234" s="17" t="s">
        <v>68</v>
      </c>
      <c r="J234" s="17" t="s">
        <v>67</v>
      </c>
      <c r="K234" s="17"/>
      <c r="L234" s="17"/>
      <c r="M234" s="16" t="str">
        <f>HYPERLINK("http://slimages.macys.com/is/image/MCY/16688814 ")</f>
        <v xml:space="preserve">http://slimages.macys.com/is/image/MCY/16688814 </v>
      </c>
      <c r="N234" s="30"/>
    </row>
    <row r="235" spans="1:14" ht="60" x14ac:dyDescent="0.25">
      <c r="A235" s="19" t="s">
        <v>6544</v>
      </c>
      <c r="B235" s="17" t="s">
        <v>6543</v>
      </c>
      <c r="C235" s="20">
        <v>1</v>
      </c>
      <c r="D235" s="18">
        <v>69.5</v>
      </c>
      <c r="E235" s="20" t="s">
        <v>2728</v>
      </c>
      <c r="F235" s="17" t="s">
        <v>330</v>
      </c>
      <c r="G235" s="19" t="s">
        <v>351</v>
      </c>
      <c r="H235" s="18">
        <v>13.086666666666668</v>
      </c>
      <c r="I235" s="17" t="s">
        <v>1891</v>
      </c>
      <c r="J235" s="17" t="s">
        <v>2435</v>
      </c>
      <c r="K235" s="17"/>
      <c r="L235" s="17"/>
      <c r="M235" s="16" t="str">
        <f>HYPERLINK("http://slimages.macys.com/is/image/MCY/19506604 ")</f>
        <v xml:space="preserve">http://slimages.macys.com/is/image/MCY/19506604 </v>
      </c>
      <c r="N235" s="30"/>
    </row>
    <row r="236" spans="1:14" ht="60" x14ac:dyDescent="0.25">
      <c r="A236" s="19" t="s">
        <v>6542</v>
      </c>
      <c r="B236" s="17" t="s">
        <v>6541</v>
      </c>
      <c r="C236" s="20">
        <v>1</v>
      </c>
      <c r="D236" s="18">
        <v>69.5</v>
      </c>
      <c r="E236" s="20" t="s">
        <v>3626</v>
      </c>
      <c r="F236" s="17" t="s">
        <v>63</v>
      </c>
      <c r="G236" s="19" t="s">
        <v>351</v>
      </c>
      <c r="H236" s="18">
        <v>13.086666666666668</v>
      </c>
      <c r="I236" s="17" t="s">
        <v>1891</v>
      </c>
      <c r="J236" s="17" t="s">
        <v>2435</v>
      </c>
      <c r="K236" s="17"/>
      <c r="L236" s="17"/>
      <c r="M236" s="16" t="str">
        <f>HYPERLINK("http://slimages.macys.com/is/image/MCY/19046856 ")</f>
        <v xml:space="preserve">http://slimages.macys.com/is/image/MCY/19046856 </v>
      </c>
      <c r="N236" s="30"/>
    </row>
    <row r="237" spans="1:14" ht="60" x14ac:dyDescent="0.25">
      <c r="A237" s="19" t="s">
        <v>6540</v>
      </c>
      <c r="B237" s="17" t="s">
        <v>6539</v>
      </c>
      <c r="C237" s="20">
        <v>1</v>
      </c>
      <c r="D237" s="18">
        <v>69.5</v>
      </c>
      <c r="E237" s="20" t="s">
        <v>5066</v>
      </c>
      <c r="F237" s="17" t="s">
        <v>58</v>
      </c>
      <c r="G237" s="19" t="s">
        <v>351</v>
      </c>
      <c r="H237" s="18">
        <v>13.086666666666668</v>
      </c>
      <c r="I237" s="17" t="s">
        <v>1891</v>
      </c>
      <c r="J237" s="17" t="s">
        <v>2435</v>
      </c>
      <c r="K237" s="17"/>
      <c r="L237" s="17"/>
      <c r="M237" s="16" t="str">
        <f>HYPERLINK("http://slimages.macys.com/is/image/MCY/19186640 ")</f>
        <v xml:space="preserve">http://slimages.macys.com/is/image/MCY/19186640 </v>
      </c>
      <c r="N237" s="30"/>
    </row>
    <row r="238" spans="1:14" ht="60" x14ac:dyDescent="0.25">
      <c r="A238" s="19" t="s">
        <v>4422</v>
      </c>
      <c r="B238" s="17" t="s">
        <v>4421</v>
      </c>
      <c r="C238" s="20">
        <v>1</v>
      </c>
      <c r="D238" s="18">
        <v>69.5</v>
      </c>
      <c r="E238" s="20" t="s">
        <v>3601</v>
      </c>
      <c r="F238" s="17" t="s">
        <v>216</v>
      </c>
      <c r="G238" s="19"/>
      <c r="H238" s="18">
        <v>13.086666666666668</v>
      </c>
      <c r="I238" s="17" t="s">
        <v>1891</v>
      </c>
      <c r="J238" s="17" t="s">
        <v>67</v>
      </c>
      <c r="K238" s="17"/>
      <c r="L238" s="17"/>
      <c r="M238" s="16" t="str">
        <f>HYPERLINK("http://slimages.macys.com/is/image/MCY/18981762 ")</f>
        <v xml:space="preserve">http://slimages.macys.com/is/image/MCY/18981762 </v>
      </c>
      <c r="N238" s="30"/>
    </row>
    <row r="239" spans="1:14" ht="60" x14ac:dyDescent="0.25">
      <c r="A239" s="19" t="s">
        <v>1151</v>
      </c>
      <c r="B239" s="17" t="s">
        <v>1150</v>
      </c>
      <c r="C239" s="20">
        <v>3</v>
      </c>
      <c r="D239" s="18">
        <v>51.75</v>
      </c>
      <c r="E239" s="20" t="s">
        <v>1144</v>
      </c>
      <c r="F239" s="17" t="s">
        <v>272</v>
      </c>
      <c r="G239" s="19" t="s">
        <v>351</v>
      </c>
      <c r="H239" s="18">
        <v>13.020000000000001</v>
      </c>
      <c r="I239" s="17" t="s">
        <v>358</v>
      </c>
      <c r="J239" s="17" t="s">
        <v>32</v>
      </c>
      <c r="K239" s="17"/>
      <c r="L239" s="17"/>
      <c r="M239" s="16" t="str">
        <f>HYPERLINK("http://slimages.macys.com/is/image/MCY/19728027 ")</f>
        <v xml:space="preserve">http://slimages.macys.com/is/image/MCY/19728027 </v>
      </c>
      <c r="N239" s="30"/>
    </row>
    <row r="240" spans="1:14" ht="60" x14ac:dyDescent="0.25">
      <c r="A240" s="19" t="s">
        <v>6538</v>
      </c>
      <c r="B240" s="17" t="s">
        <v>6537</v>
      </c>
      <c r="C240" s="20">
        <v>1</v>
      </c>
      <c r="D240" s="18">
        <v>51.75</v>
      </c>
      <c r="E240" s="20" t="s">
        <v>6536</v>
      </c>
      <c r="F240" s="17" t="s">
        <v>35</v>
      </c>
      <c r="G240" s="19"/>
      <c r="H240" s="18">
        <v>13.020000000000001</v>
      </c>
      <c r="I240" s="17" t="s">
        <v>33</v>
      </c>
      <c r="J240" s="17" t="s">
        <v>32</v>
      </c>
      <c r="K240" s="17"/>
      <c r="L240" s="17"/>
      <c r="M240" s="16" t="str">
        <f>HYPERLINK("http://slimages.macys.com/is/image/MCY/19564239 ")</f>
        <v xml:space="preserve">http://slimages.macys.com/is/image/MCY/19564239 </v>
      </c>
      <c r="N240" s="30"/>
    </row>
    <row r="241" spans="1:14" ht="60" x14ac:dyDescent="0.25">
      <c r="A241" s="19" t="s">
        <v>6535</v>
      </c>
      <c r="B241" s="17" t="s">
        <v>6534</v>
      </c>
      <c r="C241" s="20">
        <v>1</v>
      </c>
      <c r="D241" s="18">
        <v>59</v>
      </c>
      <c r="E241" s="20" t="s">
        <v>5758</v>
      </c>
      <c r="F241" s="17" t="s">
        <v>140</v>
      </c>
      <c r="G241" s="19" t="s">
        <v>101</v>
      </c>
      <c r="H241" s="18">
        <v>13.020000000000001</v>
      </c>
      <c r="I241" s="17" t="s">
        <v>49</v>
      </c>
      <c r="J241" s="17" t="s">
        <v>48</v>
      </c>
      <c r="K241" s="17"/>
      <c r="L241" s="17"/>
      <c r="M241" s="16" t="str">
        <f>HYPERLINK("http://slimages.macys.com/is/image/MCY/18180029 ")</f>
        <v xml:space="preserve">http://slimages.macys.com/is/image/MCY/18180029 </v>
      </c>
      <c r="N241" s="30"/>
    </row>
    <row r="242" spans="1:14" ht="60" x14ac:dyDescent="0.25">
      <c r="A242" s="19" t="s">
        <v>1146</v>
      </c>
      <c r="B242" s="17" t="s">
        <v>1145</v>
      </c>
      <c r="C242" s="20">
        <v>1</v>
      </c>
      <c r="D242" s="18">
        <v>51.75</v>
      </c>
      <c r="E242" s="20" t="s">
        <v>1144</v>
      </c>
      <c r="F242" s="17" t="s">
        <v>272</v>
      </c>
      <c r="G242" s="19" t="s">
        <v>271</v>
      </c>
      <c r="H242" s="18">
        <v>13.020000000000001</v>
      </c>
      <c r="I242" s="17" t="s">
        <v>358</v>
      </c>
      <c r="J242" s="17" t="s">
        <v>32</v>
      </c>
      <c r="K242" s="17"/>
      <c r="L242" s="17"/>
      <c r="M242" s="16" t="str">
        <f>HYPERLINK("http://slimages.macys.com/is/image/MCY/19728027 ")</f>
        <v xml:space="preserve">http://slimages.macys.com/is/image/MCY/19728027 </v>
      </c>
      <c r="N242" s="30"/>
    </row>
    <row r="243" spans="1:14" ht="60" x14ac:dyDescent="0.25">
      <c r="A243" s="19" t="s">
        <v>1153</v>
      </c>
      <c r="B243" s="17" t="s">
        <v>1152</v>
      </c>
      <c r="C243" s="20">
        <v>1</v>
      </c>
      <c r="D243" s="18">
        <v>51.75</v>
      </c>
      <c r="E243" s="20" t="s">
        <v>1144</v>
      </c>
      <c r="F243" s="17" t="s">
        <v>272</v>
      </c>
      <c r="G243" s="19" t="s">
        <v>139</v>
      </c>
      <c r="H243" s="18">
        <v>13.020000000000001</v>
      </c>
      <c r="I243" s="17" t="s">
        <v>358</v>
      </c>
      <c r="J243" s="17" t="s">
        <v>32</v>
      </c>
      <c r="K243" s="17"/>
      <c r="L243" s="17"/>
      <c r="M243" s="16" t="str">
        <f>HYPERLINK("http://slimages.macys.com/is/image/MCY/19728027 ")</f>
        <v xml:space="preserve">http://slimages.macys.com/is/image/MCY/19728027 </v>
      </c>
      <c r="N243" s="30"/>
    </row>
    <row r="244" spans="1:14" ht="60" x14ac:dyDescent="0.25">
      <c r="A244" s="19" t="s">
        <v>1143</v>
      </c>
      <c r="B244" s="17" t="s">
        <v>1142</v>
      </c>
      <c r="C244" s="20">
        <v>1</v>
      </c>
      <c r="D244" s="18">
        <v>59</v>
      </c>
      <c r="E244" s="20" t="s">
        <v>1141</v>
      </c>
      <c r="F244" s="17" t="s">
        <v>562</v>
      </c>
      <c r="G244" s="19" t="s">
        <v>1140</v>
      </c>
      <c r="H244" s="18">
        <v>13.013333333333334</v>
      </c>
      <c r="I244" s="17" t="s">
        <v>49</v>
      </c>
      <c r="J244" s="17" t="s">
        <v>48</v>
      </c>
      <c r="K244" s="17"/>
      <c r="L244" s="17"/>
      <c r="M244" s="16" t="str">
        <f>HYPERLINK("http://slimages.macys.com/is/image/MCY/19379573 ")</f>
        <v xml:space="preserve">http://slimages.macys.com/is/image/MCY/19379573 </v>
      </c>
      <c r="N244" s="30"/>
    </row>
    <row r="245" spans="1:14" ht="60" x14ac:dyDescent="0.25">
      <c r="A245" s="19" t="s">
        <v>3585</v>
      </c>
      <c r="B245" s="17" t="s">
        <v>3584</v>
      </c>
      <c r="C245" s="20">
        <v>1</v>
      </c>
      <c r="D245" s="18">
        <v>69</v>
      </c>
      <c r="E245" s="20" t="s">
        <v>1130</v>
      </c>
      <c r="F245" s="17" t="s">
        <v>390</v>
      </c>
      <c r="G245" s="19" t="s">
        <v>57</v>
      </c>
      <c r="H245" s="18">
        <v>12.993333333333334</v>
      </c>
      <c r="I245" s="17" t="s">
        <v>56</v>
      </c>
      <c r="J245" s="17" t="s">
        <v>55</v>
      </c>
      <c r="K245" s="17" t="s">
        <v>389</v>
      </c>
      <c r="L245" s="17" t="s">
        <v>1129</v>
      </c>
      <c r="M245" s="16" t="str">
        <f>HYPERLINK("http://slimages.macys.com/is/image/MCY/15870463 ")</f>
        <v xml:space="preserve">http://slimages.macys.com/is/image/MCY/15870463 </v>
      </c>
      <c r="N245" s="30"/>
    </row>
    <row r="246" spans="1:14" ht="60" x14ac:dyDescent="0.25">
      <c r="A246" s="19" t="s">
        <v>6533</v>
      </c>
      <c r="B246" s="17" t="s">
        <v>6532</v>
      </c>
      <c r="C246" s="20">
        <v>1</v>
      </c>
      <c r="D246" s="18">
        <v>69</v>
      </c>
      <c r="E246" s="20" t="s">
        <v>1130</v>
      </c>
      <c r="F246" s="17" t="s">
        <v>91</v>
      </c>
      <c r="G246" s="19" t="s">
        <v>197</v>
      </c>
      <c r="H246" s="18">
        <v>12.993333333333334</v>
      </c>
      <c r="I246" s="17" t="s">
        <v>56</v>
      </c>
      <c r="J246" s="17" t="s">
        <v>55</v>
      </c>
      <c r="K246" s="17" t="s">
        <v>389</v>
      </c>
      <c r="L246" s="17" t="s">
        <v>1129</v>
      </c>
      <c r="M246" s="16" t="str">
        <f>HYPERLINK("http://slimages.macys.com/is/image/MCY/15870463 ")</f>
        <v xml:space="preserve">http://slimages.macys.com/is/image/MCY/15870463 </v>
      </c>
      <c r="N246" s="30"/>
    </row>
    <row r="247" spans="1:14" ht="60" x14ac:dyDescent="0.25">
      <c r="A247" s="19" t="s">
        <v>5751</v>
      </c>
      <c r="B247" s="17" t="s">
        <v>5750</v>
      </c>
      <c r="C247" s="20">
        <v>1</v>
      </c>
      <c r="D247" s="18">
        <v>69</v>
      </c>
      <c r="E247" s="20" t="s">
        <v>4394</v>
      </c>
      <c r="F247" s="17" t="s">
        <v>23</v>
      </c>
      <c r="G247" s="19" t="s">
        <v>43</v>
      </c>
      <c r="H247" s="18">
        <v>12.74</v>
      </c>
      <c r="I247" s="17" t="s">
        <v>405</v>
      </c>
      <c r="J247" s="17" t="s">
        <v>404</v>
      </c>
      <c r="K247" s="17"/>
      <c r="L247" s="17"/>
      <c r="M247" s="16" t="str">
        <f>HYPERLINK("http://slimages.macys.com/is/image/MCY/19217719 ")</f>
        <v xml:space="preserve">http://slimages.macys.com/is/image/MCY/19217719 </v>
      </c>
      <c r="N247" s="30"/>
    </row>
    <row r="248" spans="1:14" ht="60" x14ac:dyDescent="0.25">
      <c r="A248" s="19" t="s">
        <v>3582</v>
      </c>
      <c r="B248" s="17" t="s">
        <v>3581</v>
      </c>
      <c r="C248" s="20">
        <v>1</v>
      </c>
      <c r="D248" s="18">
        <v>69</v>
      </c>
      <c r="E248" s="20" t="s">
        <v>3580</v>
      </c>
      <c r="F248" s="17" t="s">
        <v>23</v>
      </c>
      <c r="G248" s="19" t="s">
        <v>57</v>
      </c>
      <c r="H248" s="18">
        <v>12.74</v>
      </c>
      <c r="I248" s="17" t="s">
        <v>405</v>
      </c>
      <c r="J248" s="17" t="s">
        <v>404</v>
      </c>
      <c r="K248" s="17" t="s">
        <v>389</v>
      </c>
      <c r="L248" s="17" t="s">
        <v>1129</v>
      </c>
      <c r="M248" s="16" t="str">
        <f>HYPERLINK("http://slimages.macys.com/is/image/MCY/18457264 ")</f>
        <v xml:space="preserve">http://slimages.macys.com/is/image/MCY/18457264 </v>
      </c>
      <c r="N248" s="30"/>
    </row>
    <row r="249" spans="1:14" ht="60" x14ac:dyDescent="0.25">
      <c r="A249" s="19" t="s">
        <v>6531</v>
      </c>
      <c r="B249" s="17" t="s">
        <v>6530</v>
      </c>
      <c r="C249" s="20">
        <v>1</v>
      </c>
      <c r="D249" s="18">
        <v>69</v>
      </c>
      <c r="E249" s="20" t="s">
        <v>5739</v>
      </c>
      <c r="F249" s="17" t="s">
        <v>91</v>
      </c>
      <c r="G249" s="19" t="s">
        <v>62</v>
      </c>
      <c r="H249" s="18">
        <v>12.74</v>
      </c>
      <c r="I249" s="17" t="s">
        <v>405</v>
      </c>
      <c r="J249" s="17" t="s">
        <v>404</v>
      </c>
      <c r="K249" s="17"/>
      <c r="L249" s="17"/>
      <c r="M249" s="16" t="str">
        <f>HYPERLINK("http://slimages.macys.com/is/image/MCY/19790550 ")</f>
        <v xml:space="preserve">http://slimages.macys.com/is/image/MCY/19790550 </v>
      </c>
      <c r="N249" s="30"/>
    </row>
    <row r="250" spans="1:14" ht="60" x14ac:dyDescent="0.25">
      <c r="A250" s="19" t="s">
        <v>6529</v>
      </c>
      <c r="B250" s="17" t="s">
        <v>6528</v>
      </c>
      <c r="C250" s="20">
        <v>1</v>
      </c>
      <c r="D250" s="18">
        <v>69</v>
      </c>
      <c r="E250" s="20" t="s">
        <v>4397</v>
      </c>
      <c r="F250" s="17" t="s">
        <v>51</v>
      </c>
      <c r="G250" s="19" t="s">
        <v>62</v>
      </c>
      <c r="H250" s="18">
        <v>12.74</v>
      </c>
      <c r="I250" s="17" t="s">
        <v>405</v>
      </c>
      <c r="J250" s="17" t="s">
        <v>404</v>
      </c>
      <c r="K250" s="17"/>
      <c r="L250" s="17"/>
      <c r="M250" s="16" t="str">
        <f>HYPERLINK("http://slimages.macys.com/is/image/MCY/17417634 ")</f>
        <v xml:space="preserve">http://slimages.macys.com/is/image/MCY/17417634 </v>
      </c>
      <c r="N250" s="30"/>
    </row>
    <row r="251" spans="1:14" ht="60" x14ac:dyDescent="0.25">
      <c r="A251" s="19" t="s">
        <v>6527</v>
      </c>
      <c r="B251" s="17" t="s">
        <v>6526</v>
      </c>
      <c r="C251" s="20">
        <v>1</v>
      </c>
      <c r="D251" s="18">
        <v>41.3</v>
      </c>
      <c r="E251" s="20" t="s">
        <v>6525</v>
      </c>
      <c r="F251" s="17" t="s">
        <v>282</v>
      </c>
      <c r="G251" s="19"/>
      <c r="H251" s="18">
        <v>12.6</v>
      </c>
      <c r="I251" s="17" t="s">
        <v>42</v>
      </c>
      <c r="J251" s="17" t="s">
        <v>41</v>
      </c>
      <c r="K251" s="17"/>
      <c r="L251" s="17"/>
      <c r="M251" s="16" t="str">
        <f>HYPERLINK("http://slimages.macys.com/is/image/MCY/18549070 ")</f>
        <v xml:space="preserve">http://slimages.macys.com/is/image/MCY/18549070 </v>
      </c>
      <c r="N251" s="30"/>
    </row>
    <row r="252" spans="1:14" ht="60" x14ac:dyDescent="0.25">
      <c r="A252" s="19" t="s">
        <v>6524</v>
      </c>
      <c r="B252" s="17" t="s">
        <v>6523</v>
      </c>
      <c r="C252" s="20">
        <v>1</v>
      </c>
      <c r="D252" s="18">
        <v>48.3</v>
      </c>
      <c r="E252" s="20" t="s">
        <v>5731</v>
      </c>
      <c r="F252" s="17" t="s">
        <v>51</v>
      </c>
      <c r="G252" s="19" t="s">
        <v>197</v>
      </c>
      <c r="H252" s="18">
        <v>12.6</v>
      </c>
      <c r="I252" s="17" t="s">
        <v>42</v>
      </c>
      <c r="J252" s="17" t="s">
        <v>41</v>
      </c>
      <c r="K252" s="17"/>
      <c r="L252" s="17"/>
      <c r="M252" s="16" t="str">
        <f>HYPERLINK("http://slimages.macys.com/is/image/MCY/19186999 ")</f>
        <v xml:space="preserve">http://slimages.macys.com/is/image/MCY/19186999 </v>
      </c>
      <c r="N252" s="30"/>
    </row>
    <row r="253" spans="1:14" ht="60" x14ac:dyDescent="0.25">
      <c r="A253" s="19" t="s">
        <v>6522</v>
      </c>
      <c r="B253" s="17" t="s">
        <v>6521</v>
      </c>
      <c r="C253" s="20">
        <v>1</v>
      </c>
      <c r="D253" s="18">
        <v>48.3</v>
      </c>
      <c r="E253" s="20" t="s">
        <v>5734</v>
      </c>
      <c r="F253" s="17" t="s">
        <v>63</v>
      </c>
      <c r="G253" s="19" t="s">
        <v>43</v>
      </c>
      <c r="H253" s="18">
        <v>12.6</v>
      </c>
      <c r="I253" s="17" t="s">
        <v>42</v>
      </c>
      <c r="J253" s="17" t="s">
        <v>41</v>
      </c>
      <c r="K253" s="17"/>
      <c r="L253" s="17"/>
      <c r="M253" s="16" t="str">
        <f>HYPERLINK("http://slimages.macys.com/is/image/MCY/18504786 ")</f>
        <v xml:space="preserve">http://slimages.macys.com/is/image/MCY/18504786 </v>
      </c>
      <c r="N253" s="30"/>
    </row>
    <row r="254" spans="1:14" ht="60" x14ac:dyDescent="0.25">
      <c r="A254" s="19" t="s">
        <v>6520</v>
      </c>
      <c r="B254" s="17" t="s">
        <v>6519</v>
      </c>
      <c r="C254" s="20">
        <v>1</v>
      </c>
      <c r="D254" s="18">
        <v>48.3</v>
      </c>
      <c r="E254" s="20" t="s">
        <v>1895</v>
      </c>
      <c r="F254" s="17" t="s">
        <v>91</v>
      </c>
      <c r="G254" s="19" t="s">
        <v>62</v>
      </c>
      <c r="H254" s="18">
        <v>12.6</v>
      </c>
      <c r="I254" s="17" t="s">
        <v>42</v>
      </c>
      <c r="J254" s="17" t="s">
        <v>41</v>
      </c>
      <c r="K254" s="17"/>
      <c r="L254" s="17"/>
      <c r="M254" s="16" t="str">
        <f>HYPERLINK("http://slimages.macys.com/is/image/MCY/19187460 ")</f>
        <v xml:space="preserve">http://slimages.macys.com/is/image/MCY/19187460 </v>
      </c>
      <c r="N254" s="30"/>
    </row>
    <row r="255" spans="1:14" ht="60" x14ac:dyDescent="0.25">
      <c r="A255" s="19" t="s">
        <v>6518</v>
      </c>
      <c r="B255" s="17" t="s">
        <v>6517</v>
      </c>
      <c r="C255" s="20">
        <v>1</v>
      </c>
      <c r="D255" s="18">
        <v>48.3</v>
      </c>
      <c r="E255" s="20" t="s">
        <v>1895</v>
      </c>
      <c r="F255" s="17" t="s">
        <v>91</v>
      </c>
      <c r="G255" s="19" t="s">
        <v>74</v>
      </c>
      <c r="H255" s="18">
        <v>12.6</v>
      </c>
      <c r="I255" s="17" t="s">
        <v>42</v>
      </c>
      <c r="J255" s="17" t="s">
        <v>41</v>
      </c>
      <c r="K255" s="17"/>
      <c r="L255" s="17"/>
      <c r="M255" s="16" t="str">
        <f>HYPERLINK("http://slimages.macys.com/is/image/MCY/19187460 ")</f>
        <v xml:space="preserve">http://slimages.macys.com/is/image/MCY/19187460 </v>
      </c>
      <c r="N255" s="30"/>
    </row>
    <row r="256" spans="1:14" ht="60" x14ac:dyDescent="0.25">
      <c r="A256" s="19" t="s">
        <v>4391</v>
      </c>
      <c r="B256" s="17" t="s">
        <v>4390</v>
      </c>
      <c r="C256" s="20">
        <v>1</v>
      </c>
      <c r="D256" s="18">
        <v>48.3</v>
      </c>
      <c r="E256" s="20" t="s">
        <v>1895</v>
      </c>
      <c r="F256" s="17" t="s">
        <v>51</v>
      </c>
      <c r="G256" s="19" t="s">
        <v>197</v>
      </c>
      <c r="H256" s="18">
        <v>12.6</v>
      </c>
      <c r="I256" s="17" t="s">
        <v>42</v>
      </c>
      <c r="J256" s="17" t="s">
        <v>41</v>
      </c>
      <c r="K256" s="17"/>
      <c r="L256" s="17"/>
      <c r="M256" s="16" t="str">
        <f>HYPERLINK("http://slimages.macys.com/is/image/MCY/19187460 ")</f>
        <v xml:space="preserve">http://slimages.macys.com/is/image/MCY/19187460 </v>
      </c>
      <c r="N256" s="30"/>
    </row>
    <row r="257" spans="1:14" ht="60" x14ac:dyDescent="0.25">
      <c r="A257" s="19" t="s">
        <v>1902</v>
      </c>
      <c r="B257" s="17" t="s">
        <v>1901</v>
      </c>
      <c r="C257" s="20">
        <v>1</v>
      </c>
      <c r="D257" s="18">
        <v>48.3</v>
      </c>
      <c r="E257" s="20" t="s">
        <v>1895</v>
      </c>
      <c r="F257" s="17" t="s">
        <v>28</v>
      </c>
      <c r="G257" s="19" t="s">
        <v>74</v>
      </c>
      <c r="H257" s="18">
        <v>12.6</v>
      </c>
      <c r="I257" s="17" t="s">
        <v>42</v>
      </c>
      <c r="J257" s="17" t="s">
        <v>41</v>
      </c>
      <c r="K257" s="17"/>
      <c r="L257" s="17"/>
      <c r="M257" s="16" t="str">
        <f>HYPERLINK("http://slimages.macys.com/is/image/MCY/18545224 ")</f>
        <v xml:space="preserve">http://slimages.macys.com/is/image/MCY/18545224 </v>
      </c>
      <c r="N257" s="30"/>
    </row>
    <row r="258" spans="1:14" ht="60" x14ac:dyDescent="0.25">
      <c r="A258" s="19" t="s">
        <v>6516</v>
      </c>
      <c r="B258" s="17" t="s">
        <v>6515</v>
      </c>
      <c r="C258" s="20">
        <v>1</v>
      </c>
      <c r="D258" s="18">
        <v>69.5</v>
      </c>
      <c r="E258" s="20" t="s">
        <v>6514</v>
      </c>
      <c r="F258" s="17" t="s">
        <v>58</v>
      </c>
      <c r="G258" s="19" t="s">
        <v>682</v>
      </c>
      <c r="H258" s="18">
        <v>12.540000000000001</v>
      </c>
      <c r="I258" s="17" t="s">
        <v>68</v>
      </c>
      <c r="J258" s="17" t="s">
        <v>67</v>
      </c>
      <c r="K258" s="17" t="s">
        <v>389</v>
      </c>
      <c r="L258" s="17" t="s">
        <v>1804</v>
      </c>
      <c r="M258" s="16" t="str">
        <f>HYPERLINK("http://slimages.macys.com/is/image/MCY/12875146 ")</f>
        <v xml:space="preserve">http://slimages.macys.com/is/image/MCY/12875146 </v>
      </c>
      <c r="N258" s="30"/>
    </row>
    <row r="259" spans="1:14" ht="60" x14ac:dyDescent="0.25">
      <c r="A259" s="19" t="s">
        <v>6513</v>
      </c>
      <c r="B259" s="17" t="s">
        <v>6512</v>
      </c>
      <c r="C259" s="20">
        <v>1</v>
      </c>
      <c r="D259" s="18">
        <v>44.25</v>
      </c>
      <c r="E259" s="20">
        <v>10773822</v>
      </c>
      <c r="F259" s="17" t="s">
        <v>28</v>
      </c>
      <c r="G259" s="19" t="s">
        <v>139</v>
      </c>
      <c r="H259" s="18">
        <v>12.393333333333334</v>
      </c>
      <c r="I259" s="17" t="s">
        <v>358</v>
      </c>
      <c r="J259" s="17" t="s">
        <v>143</v>
      </c>
      <c r="K259" s="17"/>
      <c r="L259" s="17"/>
      <c r="M259" s="16" t="str">
        <f>HYPERLINK("http://slimages.macys.com/is/image/MCY/19096182 ")</f>
        <v xml:space="preserve">http://slimages.macys.com/is/image/MCY/19096182 </v>
      </c>
      <c r="N259" s="30"/>
    </row>
    <row r="260" spans="1:14" ht="60" x14ac:dyDescent="0.25">
      <c r="A260" s="19" t="s">
        <v>6511</v>
      </c>
      <c r="B260" s="17" t="s">
        <v>6510</v>
      </c>
      <c r="C260" s="20">
        <v>1</v>
      </c>
      <c r="D260" s="18">
        <v>51.95</v>
      </c>
      <c r="E260" s="20" t="s">
        <v>5045</v>
      </c>
      <c r="F260" s="17" t="s">
        <v>282</v>
      </c>
      <c r="G260" s="19" t="s">
        <v>197</v>
      </c>
      <c r="H260" s="18">
        <v>12.333333333333334</v>
      </c>
      <c r="I260" s="17" t="s">
        <v>148</v>
      </c>
      <c r="J260" s="17" t="s">
        <v>1136</v>
      </c>
      <c r="K260" s="17"/>
      <c r="L260" s="17"/>
      <c r="M260" s="16" t="str">
        <f>HYPERLINK("http://slimages.macys.com/is/image/MCY/18676246 ")</f>
        <v xml:space="preserve">http://slimages.macys.com/is/image/MCY/18676246 </v>
      </c>
      <c r="N260" s="30"/>
    </row>
    <row r="261" spans="1:14" ht="60" x14ac:dyDescent="0.25">
      <c r="A261" s="19" t="s">
        <v>6509</v>
      </c>
      <c r="B261" s="17" t="s">
        <v>6508</v>
      </c>
      <c r="C261" s="20">
        <v>1</v>
      </c>
      <c r="D261" s="18">
        <v>50</v>
      </c>
      <c r="E261" s="20" t="s">
        <v>6505</v>
      </c>
      <c r="F261" s="17" t="s">
        <v>58</v>
      </c>
      <c r="G261" s="19" t="s">
        <v>57</v>
      </c>
      <c r="H261" s="18">
        <v>12.333333333333334</v>
      </c>
      <c r="I261" s="17" t="s">
        <v>80</v>
      </c>
      <c r="J261" s="17" t="s">
        <v>187</v>
      </c>
      <c r="K261" s="17"/>
      <c r="L261" s="17"/>
      <c r="M261" s="16" t="str">
        <f>HYPERLINK("http://slimages.macys.com/is/image/MCY/16840504 ")</f>
        <v xml:space="preserve">http://slimages.macys.com/is/image/MCY/16840504 </v>
      </c>
      <c r="N261" s="30"/>
    </row>
    <row r="262" spans="1:14" ht="60" x14ac:dyDescent="0.25">
      <c r="A262" s="19" t="s">
        <v>6507</v>
      </c>
      <c r="B262" s="17" t="s">
        <v>6506</v>
      </c>
      <c r="C262" s="20">
        <v>1</v>
      </c>
      <c r="D262" s="18">
        <v>50</v>
      </c>
      <c r="E262" s="20" t="s">
        <v>6505</v>
      </c>
      <c r="F262" s="17" t="s">
        <v>58</v>
      </c>
      <c r="G262" s="19" t="s">
        <v>74</v>
      </c>
      <c r="H262" s="18">
        <v>12.333333333333334</v>
      </c>
      <c r="I262" s="17" t="s">
        <v>80</v>
      </c>
      <c r="J262" s="17" t="s">
        <v>187</v>
      </c>
      <c r="K262" s="17"/>
      <c r="L262" s="17"/>
      <c r="M262" s="16" t="str">
        <f>HYPERLINK("http://slimages.macys.com/is/image/MCY/16840504 ")</f>
        <v xml:space="preserve">http://slimages.macys.com/is/image/MCY/16840504 </v>
      </c>
      <c r="N262" s="30"/>
    </row>
    <row r="263" spans="1:14" ht="60" x14ac:dyDescent="0.25">
      <c r="A263" s="19" t="s">
        <v>6504</v>
      </c>
      <c r="B263" s="17" t="s">
        <v>6503</v>
      </c>
      <c r="C263" s="20">
        <v>1</v>
      </c>
      <c r="D263" s="18">
        <v>36.75</v>
      </c>
      <c r="E263" s="20" t="s">
        <v>6502</v>
      </c>
      <c r="F263" s="17" t="s">
        <v>23</v>
      </c>
      <c r="G263" s="19"/>
      <c r="H263" s="18">
        <v>12.253333333333334</v>
      </c>
      <c r="I263" s="17" t="s">
        <v>33</v>
      </c>
      <c r="J263" s="17" t="s">
        <v>32</v>
      </c>
      <c r="K263" s="17" t="s">
        <v>389</v>
      </c>
      <c r="L263" s="17" t="s">
        <v>6501</v>
      </c>
      <c r="M263" s="16" t="str">
        <f>HYPERLINK("http://slimages.macys.com/is/image/MCY/11714717 ")</f>
        <v xml:space="preserve">http://slimages.macys.com/is/image/MCY/11714717 </v>
      </c>
      <c r="N263" s="30"/>
    </row>
    <row r="264" spans="1:14" ht="60" x14ac:dyDescent="0.25">
      <c r="A264" s="19" t="s">
        <v>6500</v>
      </c>
      <c r="B264" s="17" t="s">
        <v>6499</v>
      </c>
      <c r="C264" s="20">
        <v>1</v>
      </c>
      <c r="D264" s="18">
        <v>59.5</v>
      </c>
      <c r="E264" s="20" t="s">
        <v>6498</v>
      </c>
      <c r="F264" s="17" t="s">
        <v>23</v>
      </c>
      <c r="G264" s="19" t="s">
        <v>139</v>
      </c>
      <c r="H264" s="18">
        <v>12.24</v>
      </c>
      <c r="I264" s="17" t="s">
        <v>1891</v>
      </c>
      <c r="J264" s="17" t="s">
        <v>67</v>
      </c>
      <c r="K264" s="17"/>
      <c r="L264" s="17"/>
      <c r="M264" s="16" t="str">
        <f>HYPERLINK("http://slimages.macys.com/is/image/MCY/18363626 ")</f>
        <v xml:space="preserve">http://slimages.macys.com/is/image/MCY/18363626 </v>
      </c>
      <c r="N264" s="30"/>
    </row>
    <row r="265" spans="1:14" ht="60" x14ac:dyDescent="0.25">
      <c r="A265" s="19" t="s">
        <v>6497</v>
      </c>
      <c r="B265" s="17" t="s">
        <v>6496</v>
      </c>
      <c r="C265" s="20">
        <v>1</v>
      </c>
      <c r="D265" s="18">
        <v>59</v>
      </c>
      <c r="E265" s="20">
        <v>10773580</v>
      </c>
      <c r="F265" s="17" t="s">
        <v>28</v>
      </c>
      <c r="G265" s="19" t="s">
        <v>62</v>
      </c>
      <c r="H265" s="18">
        <v>12.193333333333333</v>
      </c>
      <c r="I265" s="17" t="s">
        <v>144</v>
      </c>
      <c r="J265" s="17" t="s">
        <v>143</v>
      </c>
      <c r="K265" s="17"/>
      <c r="L265" s="17"/>
      <c r="M265" s="16" t="str">
        <f>HYPERLINK("http://slimages.macys.com/is/image/MCY/19096000 ")</f>
        <v xml:space="preserve">http://slimages.macys.com/is/image/MCY/19096000 </v>
      </c>
      <c r="N265" s="30"/>
    </row>
    <row r="266" spans="1:14" ht="60" x14ac:dyDescent="0.25">
      <c r="A266" s="19" t="s">
        <v>6495</v>
      </c>
      <c r="B266" s="17" t="s">
        <v>6494</v>
      </c>
      <c r="C266" s="20">
        <v>2</v>
      </c>
      <c r="D266" s="18">
        <v>50</v>
      </c>
      <c r="E266" s="20" t="s">
        <v>5726</v>
      </c>
      <c r="F266" s="17"/>
      <c r="G266" s="19" t="s">
        <v>101</v>
      </c>
      <c r="H266" s="18">
        <v>12.093333333333334</v>
      </c>
      <c r="I266" s="17" t="s">
        <v>16</v>
      </c>
      <c r="J266" s="17" t="s">
        <v>15</v>
      </c>
      <c r="K266" s="17"/>
      <c r="L266" s="17"/>
      <c r="M266" s="16" t="str">
        <f>HYPERLINK("http://slimages.macys.com/is/image/MCY/17959116 ")</f>
        <v xml:space="preserve">http://slimages.macys.com/is/image/MCY/17959116 </v>
      </c>
      <c r="N266" s="30"/>
    </row>
    <row r="267" spans="1:14" ht="60" x14ac:dyDescent="0.25">
      <c r="A267" s="19" t="s">
        <v>6493</v>
      </c>
      <c r="B267" s="17" t="s">
        <v>6492</v>
      </c>
      <c r="C267" s="20">
        <v>1</v>
      </c>
      <c r="D267" s="18">
        <v>79</v>
      </c>
      <c r="E267" s="20" t="s">
        <v>410</v>
      </c>
      <c r="F267" s="17" t="s">
        <v>58</v>
      </c>
      <c r="G267" s="19" t="s">
        <v>69</v>
      </c>
      <c r="H267" s="18">
        <v>12</v>
      </c>
      <c r="I267" s="17" t="s">
        <v>148</v>
      </c>
      <c r="J267" s="17" t="s">
        <v>409</v>
      </c>
      <c r="K267" s="17"/>
      <c r="L267" s="17"/>
      <c r="M267" s="16" t="str">
        <f>HYPERLINK("http://slimages.macys.com/is/image/MCY/19301019 ")</f>
        <v xml:space="preserve">http://slimages.macys.com/is/image/MCY/19301019 </v>
      </c>
      <c r="N267" s="30"/>
    </row>
    <row r="268" spans="1:14" ht="60" x14ac:dyDescent="0.25">
      <c r="A268" s="19" t="s">
        <v>6491</v>
      </c>
      <c r="B268" s="17" t="s">
        <v>6490</v>
      </c>
      <c r="C268" s="20">
        <v>1</v>
      </c>
      <c r="D268" s="18">
        <v>79</v>
      </c>
      <c r="E268" s="20" t="s">
        <v>410</v>
      </c>
      <c r="F268" s="17" t="s">
        <v>58</v>
      </c>
      <c r="G268" s="19" t="s">
        <v>62</v>
      </c>
      <c r="H268" s="18">
        <v>12</v>
      </c>
      <c r="I268" s="17" t="s">
        <v>148</v>
      </c>
      <c r="J268" s="17" t="s">
        <v>409</v>
      </c>
      <c r="K268" s="17"/>
      <c r="L268" s="17"/>
      <c r="M268" s="16" t="str">
        <f>HYPERLINK("http://slimages.macys.com/is/image/MCY/19301019 ")</f>
        <v xml:space="preserve">http://slimages.macys.com/is/image/MCY/19301019 </v>
      </c>
      <c r="N268" s="30"/>
    </row>
    <row r="269" spans="1:14" ht="60" x14ac:dyDescent="0.25">
      <c r="A269" s="19" t="s">
        <v>6489</v>
      </c>
      <c r="B269" s="17" t="s">
        <v>6488</v>
      </c>
      <c r="C269" s="20">
        <v>1</v>
      </c>
      <c r="D269" s="18">
        <v>79</v>
      </c>
      <c r="E269" s="20" t="s">
        <v>1888</v>
      </c>
      <c r="F269" s="17"/>
      <c r="G269" s="19" t="s">
        <v>69</v>
      </c>
      <c r="H269" s="18">
        <v>12</v>
      </c>
      <c r="I269" s="17" t="s">
        <v>148</v>
      </c>
      <c r="J269" s="17" t="s">
        <v>409</v>
      </c>
      <c r="K269" s="17"/>
      <c r="L269" s="17"/>
      <c r="M269" s="16" t="str">
        <f>HYPERLINK("http://slimages.macys.com/is/image/MCY/19817105 ")</f>
        <v xml:space="preserve">http://slimages.macys.com/is/image/MCY/19817105 </v>
      </c>
      <c r="N269" s="30"/>
    </row>
    <row r="270" spans="1:14" ht="60" x14ac:dyDescent="0.25">
      <c r="A270" s="19" t="s">
        <v>6487</v>
      </c>
      <c r="B270" s="17" t="s">
        <v>6486</v>
      </c>
      <c r="C270" s="20">
        <v>1</v>
      </c>
      <c r="D270" s="18">
        <v>79</v>
      </c>
      <c r="E270" s="20" t="s">
        <v>410</v>
      </c>
      <c r="F270" s="17" t="s">
        <v>58</v>
      </c>
      <c r="G270" s="19" t="s">
        <v>62</v>
      </c>
      <c r="H270" s="18">
        <v>12</v>
      </c>
      <c r="I270" s="17" t="s">
        <v>148</v>
      </c>
      <c r="J270" s="17" t="s">
        <v>409</v>
      </c>
      <c r="K270" s="17"/>
      <c r="L270" s="17"/>
      <c r="M270" s="16" t="str">
        <f>HYPERLINK("http://slimages.macys.com/is/image/MCY/19301019 ")</f>
        <v xml:space="preserve">http://slimages.macys.com/is/image/MCY/19301019 </v>
      </c>
      <c r="N270" s="30"/>
    </row>
    <row r="271" spans="1:14" ht="60" x14ac:dyDescent="0.25">
      <c r="A271" s="19" t="s">
        <v>6485</v>
      </c>
      <c r="B271" s="17" t="s">
        <v>6484</v>
      </c>
      <c r="C271" s="20">
        <v>1</v>
      </c>
      <c r="D271" s="18">
        <v>89</v>
      </c>
      <c r="E271" s="20">
        <v>9231714</v>
      </c>
      <c r="F271" s="17" t="s">
        <v>58</v>
      </c>
      <c r="G271" s="19" t="s">
        <v>139</v>
      </c>
      <c r="H271" s="18">
        <v>11.866666666666667</v>
      </c>
      <c r="I271" s="17" t="s">
        <v>138</v>
      </c>
      <c r="J271" s="17" t="s">
        <v>137</v>
      </c>
      <c r="K271" s="17"/>
      <c r="L271" s="17"/>
      <c r="M271" s="16" t="str">
        <f>HYPERLINK("http://slimages.macys.com/is/image/MCY/19196181 ")</f>
        <v xml:space="preserve">http://slimages.macys.com/is/image/MCY/19196181 </v>
      </c>
      <c r="N271" s="30"/>
    </row>
    <row r="272" spans="1:14" ht="60" x14ac:dyDescent="0.25">
      <c r="A272" s="19" t="s">
        <v>5022</v>
      </c>
      <c r="B272" s="17" t="s">
        <v>5021</v>
      </c>
      <c r="C272" s="20">
        <v>1</v>
      </c>
      <c r="D272" s="18">
        <v>59</v>
      </c>
      <c r="E272" s="20">
        <v>10763054</v>
      </c>
      <c r="F272" s="17" t="s">
        <v>28</v>
      </c>
      <c r="G272" s="19" t="s">
        <v>139</v>
      </c>
      <c r="H272" s="18">
        <v>11.8</v>
      </c>
      <c r="I272" s="17" t="s">
        <v>358</v>
      </c>
      <c r="J272" s="17" t="s">
        <v>554</v>
      </c>
      <c r="K272" s="17"/>
      <c r="L272" s="17"/>
      <c r="M272" s="16" t="str">
        <f>HYPERLINK("http://slimages.macys.com/is/image/MCY/16878391 ")</f>
        <v xml:space="preserve">http://slimages.macys.com/is/image/MCY/16878391 </v>
      </c>
      <c r="N272" s="30"/>
    </row>
    <row r="273" spans="1:14" ht="60" x14ac:dyDescent="0.25">
      <c r="A273" s="19" t="s">
        <v>6483</v>
      </c>
      <c r="B273" s="17" t="s">
        <v>6482</v>
      </c>
      <c r="C273" s="20">
        <v>1</v>
      </c>
      <c r="D273" s="18">
        <v>59</v>
      </c>
      <c r="E273" s="20" t="s">
        <v>6481</v>
      </c>
      <c r="F273" s="17" t="s">
        <v>1382</v>
      </c>
      <c r="G273" s="19" t="s">
        <v>57</v>
      </c>
      <c r="H273" s="18">
        <v>11.8</v>
      </c>
      <c r="I273" s="17" t="s">
        <v>678</v>
      </c>
      <c r="J273" s="17" t="s">
        <v>404</v>
      </c>
      <c r="K273" s="17"/>
      <c r="L273" s="17"/>
      <c r="M273" s="16" t="str">
        <f>HYPERLINK("http://slimages.macys.com/is/image/MCY/19288033 ")</f>
        <v xml:space="preserve">http://slimages.macys.com/is/image/MCY/19288033 </v>
      </c>
      <c r="N273" s="30"/>
    </row>
    <row r="274" spans="1:14" ht="60" x14ac:dyDescent="0.25">
      <c r="A274" s="19" t="s">
        <v>6480</v>
      </c>
      <c r="B274" s="17" t="s">
        <v>6479</v>
      </c>
      <c r="C274" s="20">
        <v>1</v>
      </c>
      <c r="D274" s="18">
        <v>59</v>
      </c>
      <c r="E274" s="20" t="s">
        <v>6478</v>
      </c>
      <c r="F274" s="17" t="s">
        <v>58</v>
      </c>
      <c r="G274" s="19" t="s">
        <v>6477</v>
      </c>
      <c r="H274" s="18">
        <v>11.666666666666668</v>
      </c>
      <c r="I274" s="17" t="s">
        <v>80</v>
      </c>
      <c r="J274" s="17" t="s">
        <v>187</v>
      </c>
      <c r="K274" s="17" t="s">
        <v>389</v>
      </c>
      <c r="L274" s="17" t="s">
        <v>3264</v>
      </c>
      <c r="M274" s="16" t="str">
        <f>HYPERLINK("http://slimages.macys.com/is/image/MCY/19421214 ")</f>
        <v xml:space="preserve">http://slimages.macys.com/is/image/MCY/19421214 </v>
      </c>
      <c r="N274" s="30"/>
    </row>
    <row r="275" spans="1:14" ht="60" x14ac:dyDescent="0.25">
      <c r="A275" s="19" t="s">
        <v>6476</v>
      </c>
      <c r="B275" s="17" t="s">
        <v>6475</v>
      </c>
      <c r="C275" s="20">
        <v>1</v>
      </c>
      <c r="D275" s="18">
        <v>69</v>
      </c>
      <c r="E275" s="20">
        <v>8151602</v>
      </c>
      <c r="F275" s="17" t="s">
        <v>508</v>
      </c>
      <c r="G275" s="19" t="s">
        <v>22</v>
      </c>
      <c r="H275" s="18">
        <v>11.500000000000002</v>
      </c>
      <c r="I275" s="17" t="s">
        <v>129</v>
      </c>
      <c r="J275" s="17" t="s">
        <v>128</v>
      </c>
      <c r="K275" s="17"/>
      <c r="L275" s="17"/>
      <c r="M275" s="16" t="str">
        <f>HYPERLINK("http://slimages.macys.com/is/image/MCY/19706219 ")</f>
        <v xml:space="preserve">http://slimages.macys.com/is/image/MCY/19706219 </v>
      </c>
      <c r="N275" s="30"/>
    </row>
    <row r="276" spans="1:14" ht="60" x14ac:dyDescent="0.25">
      <c r="A276" s="19" t="s">
        <v>6474</v>
      </c>
      <c r="B276" s="17" t="s">
        <v>6473</v>
      </c>
      <c r="C276" s="20">
        <v>1</v>
      </c>
      <c r="D276" s="18">
        <v>69</v>
      </c>
      <c r="E276" s="20">
        <v>8151602</v>
      </c>
      <c r="F276" s="17" t="s">
        <v>1323</v>
      </c>
      <c r="G276" s="19" t="s">
        <v>22</v>
      </c>
      <c r="H276" s="18">
        <v>11.500000000000002</v>
      </c>
      <c r="I276" s="17" t="s">
        <v>129</v>
      </c>
      <c r="J276" s="17" t="s">
        <v>128</v>
      </c>
      <c r="K276" s="17"/>
      <c r="L276" s="17"/>
      <c r="M276" s="16" t="str">
        <f>HYPERLINK("http://slimages.macys.com/is/image/MCY/19706219 ")</f>
        <v xml:space="preserve">http://slimages.macys.com/is/image/MCY/19706219 </v>
      </c>
      <c r="N276" s="30"/>
    </row>
    <row r="277" spans="1:14" ht="60" x14ac:dyDescent="0.25">
      <c r="A277" s="19" t="s">
        <v>6472</v>
      </c>
      <c r="B277" s="17" t="s">
        <v>6471</v>
      </c>
      <c r="C277" s="20">
        <v>1</v>
      </c>
      <c r="D277" s="18">
        <v>40</v>
      </c>
      <c r="E277" s="20" t="s">
        <v>3525</v>
      </c>
      <c r="F277" s="17" t="s">
        <v>1536</v>
      </c>
      <c r="G277" s="19" t="s">
        <v>17</v>
      </c>
      <c r="H277" s="18">
        <v>11.4</v>
      </c>
      <c r="I277" s="17" t="s">
        <v>16</v>
      </c>
      <c r="J277" s="17" t="s">
        <v>15</v>
      </c>
      <c r="K277" s="17"/>
      <c r="L277" s="17"/>
      <c r="M277" s="16" t="str">
        <f>HYPERLINK("http://slimages.macys.com/is/image/MCY/17842430 ")</f>
        <v xml:space="preserve">http://slimages.macys.com/is/image/MCY/17842430 </v>
      </c>
      <c r="N277" s="30"/>
    </row>
    <row r="278" spans="1:14" ht="60" x14ac:dyDescent="0.25">
      <c r="A278" s="19" t="s">
        <v>3527</v>
      </c>
      <c r="B278" s="17" t="s">
        <v>3526</v>
      </c>
      <c r="C278" s="20">
        <v>3</v>
      </c>
      <c r="D278" s="18">
        <v>40</v>
      </c>
      <c r="E278" s="20" t="s">
        <v>3525</v>
      </c>
      <c r="F278" s="17" t="s">
        <v>1536</v>
      </c>
      <c r="G278" s="19" t="s">
        <v>22</v>
      </c>
      <c r="H278" s="18">
        <v>11.4</v>
      </c>
      <c r="I278" s="17" t="s">
        <v>16</v>
      </c>
      <c r="J278" s="17" t="s">
        <v>15</v>
      </c>
      <c r="K278" s="17"/>
      <c r="L278" s="17"/>
      <c r="M278" s="16" t="str">
        <f>HYPERLINK("http://slimages.macys.com/is/image/MCY/17842430 ")</f>
        <v xml:space="preserve">http://slimages.macys.com/is/image/MCY/17842430 </v>
      </c>
      <c r="N278" s="30"/>
    </row>
    <row r="279" spans="1:14" ht="60" x14ac:dyDescent="0.25">
      <c r="A279" s="19" t="s">
        <v>6470</v>
      </c>
      <c r="B279" s="17" t="s">
        <v>6469</v>
      </c>
      <c r="C279" s="20">
        <v>1</v>
      </c>
      <c r="D279" s="18">
        <v>69</v>
      </c>
      <c r="E279" s="20" t="s">
        <v>6468</v>
      </c>
      <c r="F279" s="17" t="s">
        <v>23</v>
      </c>
      <c r="G279" s="19" t="s">
        <v>74</v>
      </c>
      <c r="H279" s="18">
        <v>11.226666666666667</v>
      </c>
      <c r="I279" s="17" t="s">
        <v>4609</v>
      </c>
      <c r="J279" s="17" t="s">
        <v>4608</v>
      </c>
      <c r="K279" s="17"/>
      <c r="L279" s="17"/>
      <c r="M279" s="16" t="str">
        <f>HYPERLINK("http://slimages.macys.com/is/image/MCY/17565241 ")</f>
        <v xml:space="preserve">http://slimages.macys.com/is/image/MCY/17565241 </v>
      </c>
      <c r="N279" s="30"/>
    </row>
    <row r="280" spans="1:14" ht="60" x14ac:dyDescent="0.25">
      <c r="A280" s="19" t="s">
        <v>3509</v>
      </c>
      <c r="B280" s="17" t="s">
        <v>3508</v>
      </c>
      <c r="C280" s="20">
        <v>2</v>
      </c>
      <c r="D280" s="18">
        <v>59.5</v>
      </c>
      <c r="E280" s="20" t="s">
        <v>374</v>
      </c>
      <c r="F280" s="17" t="s">
        <v>206</v>
      </c>
      <c r="G280" s="19" t="s">
        <v>57</v>
      </c>
      <c r="H280" s="18">
        <v>11.206666666666667</v>
      </c>
      <c r="I280" s="17" t="s">
        <v>56</v>
      </c>
      <c r="J280" s="17" t="s">
        <v>55</v>
      </c>
      <c r="K280" s="17"/>
      <c r="L280" s="17"/>
      <c r="M280" s="16" t="str">
        <f>HYPERLINK("http://slimages.macys.com/is/image/MCY/19367312 ")</f>
        <v xml:space="preserve">http://slimages.macys.com/is/image/MCY/19367312 </v>
      </c>
      <c r="N280" s="30"/>
    </row>
    <row r="281" spans="1:14" ht="60" x14ac:dyDescent="0.25">
      <c r="A281" s="19" t="s">
        <v>2658</v>
      </c>
      <c r="B281" s="17" t="s">
        <v>2657</v>
      </c>
      <c r="C281" s="20">
        <v>1</v>
      </c>
      <c r="D281" s="18">
        <v>59.5</v>
      </c>
      <c r="E281" s="20" t="s">
        <v>374</v>
      </c>
      <c r="F281" s="17" t="s">
        <v>206</v>
      </c>
      <c r="G281" s="19" t="s">
        <v>197</v>
      </c>
      <c r="H281" s="18">
        <v>11.206666666666667</v>
      </c>
      <c r="I281" s="17" t="s">
        <v>56</v>
      </c>
      <c r="J281" s="17" t="s">
        <v>55</v>
      </c>
      <c r="K281" s="17"/>
      <c r="L281" s="17"/>
      <c r="M281" s="16" t="str">
        <f>HYPERLINK("http://slimages.macys.com/is/image/MCY/19367312 ")</f>
        <v xml:space="preserve">http://slimages.macys.com/is/image/MCY/19367312 </v>
      </c>
      <c r="N281" s="30"/>
    </row>
    <row r="282" spans="1:14" ht="60" x14ac:dyDescent="0.25">
      <c r="A282" s="19" t="s">
        <v>6467</v>
      </c>
      <c r="B282" s="17" t="s">
        <v>6466</v>
      </c>
      <c r="C282" s="20">
        <v>1</v>
      </c>
      <c r="D282" s="18">
        <v>59.5</v>
      </c>
      <c r="E282" s="20" t="s">
        <v>368</v>
      </c>
      <c r="F282" s="17" t="s">
        <v>206</v>
      </c>
      <c r="G282" s="19" t="s">
        <v>62</v>
      </c>
      <c r="H282" s="18">
        <v>11.206666666666667</v>
      </c>
      <c r="I282" s="17" t="s">
        <v>56</v>
      </c>
      <c r="J282" s="17" t="s">
        <v>55</v>
      </c>
      <c r="K282" s="17"/>
      <c r="L282" s="17"/>
      <c r="M282" s="16" t="str">
        <f>HYPERLINK("http://slimages.macys.com/is/image/MCY/19019250 ")</f>
        <v xml:space="preserve">http://slimages.macys.com/is/image/MCY/19019250 </v>
      </c>
      <c r="N282" s="30"/>
    </row>
    <row r="283" spans="1:14" ht="60" x14ac:dyDescent="0.25">
      <c r="A283" s="19" t="s">
        <v>3507</v>
      </c>
      <c r="B283" s="17" t="s">
        <v>3506</v>
      </c>
      <c r="C283" s="20">
        <v>1</v>
      </c>
      <c r="D283" s="18">
        <v>59.5</v>
      </c>
      <c r="E283" s="20" t="s">
        <v>374</v>
      </c>
      <c r="F283" s="17" t="s">
        <v>206</v>
      </c>
      <c r="G283" s="19" t="s">
        <v>74</v>
      </c>
      <c r="H283" s="18">
        <v>11.206666666666667</v>
      </c>
      <c r="I283" s="17" t="s">
        <v>56</v>
      </c>
      <c r="J283" s="17" t="s">
        <v>55</v>
      </c>
      <c r="K283" s="17"/>
      <c r="L283" s="17"/>
      <c r="M283" s="16" t="str">
        <f>HYPERLINK("http://slimages.macys.com/is/image/MCY/19367312 ")</f>
        <v xml:space="preserve">http://slimages.macys.com/is/image/MCY/19367312 </v>
      </c>
      <c r="N283" s="30"/>
    </row>
    <row r="284" spans="1:14" ht="60" x14ac:dyDescent="0.25">
      <c r="A284" s="19" t="s">
        <v>6465</v>
      </c>
      <c r="B284" s="17" t="s">
        <v>6464</v>
      </c>
      <c r="C284" s="20">
        <v>1</v>
      </c>
      <c r="D284" s="18">
        <v>59.5</v>
      </c>
      <c r="E284" s="20" t="s">
        <v>6463</v>
      </c>
      <c r="F284" s="17" t="s">
        <v>272</v>
      </c>
      <c r="G284" s="19" t="s">
        <v>62</v>
      </c>
      <c r="H284" s="18">
        <v>11.206666666666667</v>
      </c>
      <c r="I284" s="17" t="s">
        <v>56</v>
      </c>
      <c r="J284" s="17" t="s">
        <v>55</v>
      </c>
      <c r="K284" s="17"/>
      <c r="L284" s="17"/>
      <c r="M284" s="16" t="str">
        <f>HYPERLINK("http://slimages.macys.com/is/image/MCY/18757489 ")</f>
        <v xml:space="preserve">http://slimages.macys.com/is/image/MCY/18757489 </v>
      </c>
      <c r="N284" s="30"/>
    </row>
    <row r="285" spans="1:14" ht="60" x14ac:dyDescent="0.25">
      <c r="A285" s="19" t="s">
        <v>6462</v>
      </c>
      <c r="B285" s="17" t="s">
        <v>6461</v>
      </c>
      <c r="C285" s="20">
        <v>1</v>
      </c>
      <c r="D285" s="18">
        <v>59.5</v>
      </c>
      <c r="E285" s="20" t="s">
        <v>6460</v>
      </c>
      <c r="F285" s="17" t="s">
        <v>58</v>
      </c>
      <c r="G285" s="19" t="s">
        <v>69</v>
      </c>
      <c r="H285" s="18">
        <v>11.206666666666667</v>
      </c>
      <c r="I285" s="17" t="s">
        <v>56</v>
      </c>
      <c r="J285" s="17" t="s">
        <v>55</v>
      </c>
      <c r="K285" s="17"/>
      <c r="L285" s="17"/>
      <c r="M285" s="16" t="str">
        <f>HYPERLINK("http://slimages.macys.com/is/image/MCY/19180598 ")</f>
        <v xml:space="preserve">http://slimages.macys.com/is/image/MCY/19180598 </v>
      </c>
      <c r="N285" s="30"/>
    </row>
    <row r="286" spans="1:14" ht="60" x14ac:dyDescent="0.25">
      <c r="A286" s="19" t="s">
        <v>6459</v>
      </c>
      <c r="B286" s="17" t="s">
        <v>6458</v>
      </c>
      <c r="C286" s="20">
        <v>1</v>
      </c>
      <c r="D286" s="18">
        <v>59.5</v>
      </c>
      <c r="E286" s="20" t="s">
        <v>368</v>
      </c>
      <c r="F286" s="17" t="s">
        <v>63</v>
      </c>
      <c r="G286" s="19" t="s">
        <v>69</v>
      </c>
      <c r="H286" s="18">
        <v>11.206666666666667</v>
      </c>
      <c r="I286" s="17" t="s">
        <v>56</v>
      </c>
      <c r="J286" s="17" t="s">
        <v>55</v>
      </c>
      <c r="K286" s="17"/>
      <c r="L286" s="17"/>
      <c r="M286" s="16" t="str">
        <f>HYPERLINK("http://slimages.macys.com/is/image/MCY/19019250 ")</f>
        <v xml:space="preserve">http://slimages.macys.com/is/image/MCY/19019250 </v>
      </c>
      <c r="N286" s="30"/>
    </row>
    <row r="287" spans="1:14" ht="60" x14ac:dyDescent="0.25">
      <c r="A287" s="19" t="s">
        <v>6457</v>
      </c>
      <c r="B287" s="17" t="s">
        <v>6456</v>
      </c>
      <c r="C287" s="20">
        <v>1</v>
      </c>
      <c r="D287" s="18">
        <v>59.5</v>
      </c>
      <c r="E287" s="20" t="s">
        <v>6455</v>
      </c>
      <c r="F287" s="17" t="s">
        <v>51</v>
      </c>
      <c r="G287" s="19" t="s">
        <v>62</v>
      </c>
      <c r="H287" s="18">
        <v>11.206666666666667</v>
      </c>
      <c r="I287" s="17" t="s">
        <v>56</v>
      </c>
      <c r="J287" s="17" t="s">
        <v>55</v>
      </c>
      <c r="K287" s="17"/>
      <c r="L287" s="17"/>
      <c r="M287" s="16" t="str">
        <f>HYPERLINK("http://slimages.macys.com/is/image/MCY/19257190 ")</f>
        <v xml:space="preserve">http://slimages.macys.com/is/image/MCY/19257190 </v>
      </c>
      <c r="N287" s="30"/>
    </row>
    <row r="288" spans="1:14" ht="60" x14ac:dyDescent="0.25">
      <c r="A288" s="19" t="s">
        <v>6454</v>
      </c>
      <c r="B288" s="17" t="s">
        <v>6453</v>
      </c>
      <c r="C288" s="20">
        <v>1</v>
      </c>
      <c r="D288" s="18">
        <v>59.5</v>
      </c>
      <c r="E288" s="20" t="s">
        <v>4341</v>
      </c>
      <c r="F288" s="17" t="s">
        <v>206</v>
      </c>
      <c r="G288" s="19" t="s">
        <v>351</v>
      </c>
      <c r="H288" s="18">
        <v>11.206666666666667</v>
      </c>
      <c r="I288" s="17" t="s">
        <v>1891</v>
      </c>
      <c r="J288" s="17" t="s">
        <v>2435</v>
      </c>
      <c r="K288" s="17"/>
      <c r="L288" s="17"/>
      <c r="M288" s="16" t="str">
        <f>HYPERLINK("http://slimages.macys.com/is/image/MCY/19507940 ")</f>
        <v xml:space="preserve">http://slimages.macys.com/is/image/MCY/19507940 </v>
      </c>
      <c r="N288" s="30"/>
    </row>
    <row r="289" spans="1:14" ht="60" x14ac:dyDescent="0.25">
      <c r="A289" s="19" t="s">
        <v>6452</v>
      </c>
      <c r="B289" s="17" t="s">
        <v>6451</v>
      </c>
      <c r="C289" s="20">
        <v>1</v>
      </c>
      <c r="D289" s="18">
        <v>59.5</v>
      </c>
      <c r="E289" s="20" t="s">
        <v>6440</v>
      </c>
      <c r="F289" s="17" t="s">
        <v>562</v>
      </c>
      <c r="G289" s="19" t="s">
        <v>351</v>
      </c>
      <c r="H289" s="18">
        <v>11.206666666666667</v>
      </c>
      <c r="I289" s="17" t="s">
        <v>1891</v>
      </c>
      <c r="J289" s="17" t="s">
        <v>67</v>
      </c>
      <c r="K289" s="17"/>
      <c r="L289" s="17"/>
      <c r="M289" s="16" t="str">
        <f>HYPERLINK("http://slimages.macys.com/is/image/MCY/18981491 ")</f>
        <v xml:space="preserve">http://slimages.macys.com/is/image/MCY/18981491 </v>
      </c>
      <c r="N289" s="30"/>
    </row>
    <row r="290" spans="1:14" ht="60" x14ac:dyDescent="0.25">
      <c r="A290" s="19" t="s">
        <v>6450</v>
      </c>
      <c r="B290" s="17" t="s">
        <v>6449</v>
      </c>
      <c r="C290" s="20">
        <v>1</v>
      </c>
      <c r="D290" s="18">
        <v>59.5</v>
      </c>
      <c r="E290" s="20" t="s">
        <v>374</v>
      </c>
      <c r="F290" s="17" t="s">
        <v>91</v>
      </c>
      <c r="G290" s="19" t="s">
        <v>62</v>
      </c>
      <c r="H290" s="18">
        <v>11.206666666666667</v>
      </c>
      <c r="I290" s="17" t="s">
        <v>56</v>
      </c>
      <c r="J290" s="17" t="s">
        <v>55</v>
      </c>
      <c r="K290" s="17"/>
      <c r="L290" s="17"/>
      <c r="M290" s="16" t="str">
        <f>HYPERLINK("http://slimages.macys.com/is/image/MCY/19367312 ")</f>
        <v xml:space="preserve">http://slimages.macys.com/is/image/MCY/19367312 </v>
      </c>
      <c r="N290" s="30"/>
    </row>
    <row r="291" spans="1:14" ht="60" x14ac:dyDescent="0.25">
      <c r="A291" s="19" t="s">
        <v>376</v>
      </c>
      <c r="B291" s="17" t="s">
        <v>375</v>
      </c>
      <c r="C291" s="20">
        <v>1</v>
      </c>
      <c r="D291" s="18">
        <v>59.5</v>
      </c>
      <c r="E291" s="20" t="s">
        <v>374</v>
      </c>
      <c r="F291" s="17" t="s">
        <v>91</v>
      </c>
      <c r="G291" s="19" t="s">
        <v>197</v>
      </c>
      <c r="H291" s="18">
        <v>11.206666666666667</v>
      </c>
      <c r="I291" s="17" t="s">
        <v>56</v>
      </c>
      <c r="J291" s="17" t="s">
        <v>55</v>
      </c>
      <c r="K291" s="17"/>
      <c r="L291" s="17"/>
      <c r="M291" s="16" t="str">
        <f>HYPERLINK("http://slimages.macys.com/is/image/MCY/19367312 ")</f>
        <v xml:space="preserve">http://slimages.macys.com/is/image/MCY/19367312 </v>
      </c>
      <c r="N291" s="30"/>
    </row>
    <row r="292" spans="1:14" ht="60" x14ac:dyDescent="0.25">
      <c r="A292" s="19" t="s">
        <v>1088</v>
      </c>
      <c r="B292" s="17" t="s">
        <v>1087</v>
      </c>
      <c r="C292" s="20">
        <v>1</v>
      </c>
      <c r="D292" s="18">
        <v>59.5</v>
      </c>
      <c r="E292" s="20" t="s">
        <v>1086</v>
      </c>
      <c r="F292" s="17" t="s">
        <v>51</v>
      </c>
      <c r="G292" s="19" t="s">
        <v>57</v>
      </c>
      <c r="H292" s="18">
        <v>11.206666666666667</v>
      </c>
      <c r="I292" s="17" t="s">
        <v>56</v>
      </c>
      <c r="J292" s="17" t="s">
        <v>55</v>
      </c>
      <c r="K292" s="17"/>
      <c r="L292" s="17"/>
      <c r="M292" s="16" t="str">
        <f>HYPERLINK("http://slimages.macys.com/is/image/MCY/19182892 ")</f>
        <v xml:space="preserve">http://slimages.macys.com/is/image/MCY/19182892 </v>
      </c>
      <c r="N292" s="30"/>
    </row>
    <row r="293" spans="1:14" ht="60" x14ac:dyDescent="0.25">
      <c r="A293" s="19" t="s">
        <v>6448</v>
      </c>
      <c r="B293" s="17" t="s">
        <v>6447</v>
      </c>
      <c r="C293" s="20">
        <v>1</v>
      </c>
      <c r="D293" s="18">
        <v>59.5</v>
      </c>
      <c r="E293" s="20" t="s">
        <v>6446</v>
      </c>
      <c r="F293" s="17" t="s">
        <v>58</v>
      </c>
      <c r="G293" s="19" t="s">
        <v>271</v>
      </c>
      <c r="H293" s="18">
        <v>11.206666666666667</v>
      </c>
      <c r="I293" s="17" t="s">
        <v>1891</v>
      </c>
      <c r="J293" s="17" t="s">
        <v>2435</v>
      </c>
      <c r="K293" s="17"/>
      <c r="L293" s="17"/>
      <c r="M293" s="16" t="str">
        <f>HYPERLINK("http://slimages.macys.com/is/image/MCY/19328810 ")</f>
        <v xml:space="preserve">http://slimages.macys.com/is/image/MCY/19328810 </v>
      </c>
      <c r="N293" s="30"/>
    </row>
    <row r="294" spans="1:14" ht="60" x14ac:dyDescent="0.25">
      <c r="A294" s="19" t="s">
        <v>6445</v>
      </c>
      <c r="B294" s="17" t="s">
        <v>6444</v>
      </c>
      <c r="C294" s="20">
        <v>1</v>
      </c>
      <c r="D294" s="18">
        <v>59.5</v>
      </c>
      <c r="E294" s="20" t="s">
        <v>6443</v>
      </c>
      <c r="F294" s="17" t="s">
        <v>51</v>
      </c>
      <c r="G294" s="19" t="s">
        <v>139</v>
      </c>
      <c r="H294" s="18">
        <v>11.206666666666667</v>
      </c>
      <c r="I294" s="17" t="s">
        <v>1891</v>
      </c>
      <c r="J294" s="17" t="s">
        <v>2435</v>
      </c>
      <c r="K294" s="17"/>
      <c r="L294" s="17"/>
      <c r="M294" s="16" t="str">
        <f>HYPERLINK("http://slimages.macys.com/is/image/MCY/21538281 ")</f>
        <v xml:space="preserve">http://slimages.macys.com/is/image/MCY/21538281 </v>
      </c>
      <c r="N294" s="30"/>
    </row>
    <row r="295" spans="1:14" ht="60" x14ac:dyDescent="0.25">
      <c r="A295" s="19" t="s">
        <v>5685</v>
      </c>
      <c r="B295" s="17" t="s">
        <v>5684</v>
      </c>
      <c r="C295" s="20">
        <v>1</v>
      </c>
      <c r="D295" s="18">
        <v>59.5</v>
      </c>
      <c r="E295" s="20" t="s">
        <v>1086</v>
      </c>
      <c r="F295" s="17" t="s">
        <v>51</v>
      </c>
      <c r="G295" s="19" t="s">
        <v>62</v>
      </c>
      <c r="H295" s="18">
        <v>11.206666666666667</v>
      </c>
      <c r="I295" s="17" t="s">
        <v>56</v>
      </c>
      <c r="J295" s="17" t="s">
        <v>55</v>
      </c>
      <c r="K295" s="17"/>
      <c r="L295" s="17"/>
      <c r="M295" s="16" t="str">
        <f>HYPERLINK("http://slimages.macys.com/is/image/MCY/19182892 ")</f>
        <v xml:space="preserve">http://slimages.macys.com/is/image/MCY/19182892 </v>
      </c>
      <c r="N295" s="30"/>
    </row>
    <row r="296" spans="1:14" ht="60" x14ac:dyDescent="0.25">
      <c r="A296" s="19" t="s">
        <v>6442</v>
      </c>
      <c r="B296" s="17" t="s">
        <v>6441</v>
      </c>
      <c r="C296" s="20">
        <v>1</v>
      </c>
      <c r="D296" s="18">
        <v>59.5</v>
      </c>
      <c r="E296" s="20" t="s">
        <v>6440</v>
      </c>
      <c r="F296" s="17" t="s">
        <v>562</v>
      </c>
      <c r="G296" s="19" t="s">
        <v>271</v>
      </c>
      <c r="H296" s="18">
        <v>11.206666666666667</v>
      </c>
      <c r="I296" s="17" t="s">
        <v>1891</v>
      </c>
      <c r="J296" s="17" t="s">
        <v>67</v>
      </c>
      <c r="K296" s="17"/>
      <c r="L296" s="17"/>
      <c r="M296" s="16" t="str">
        <f>HYPERLINK("http://slimages.macys.com/is/image/MCY/18981491 ")</f>
        <v xml:space="preserve">http://slimages.macys.com/is/image/MCY/18981491 </v>
      </c>
      <c r="N296" s="30"/>
    </row>
    <row r="297" spans="1:14" ht="60" x14ac:dyDescent="0.25">
      <c r="A297" s="19" t="s">
        <v>1854</v>
      </c>
      <c r="B297" s="17" t="s">
        <v>1853</v>
      </c>
      <c r="C297" s="20">
        <v>1</v>
      </c>
      <c r="D297" s="18">
        <v>59.5</v>
      </c>
      <c r="E297" s="20" t="s">
        <v>1086</v>
      </c>
      <c r="F297" s="17" t="s">
        <v>51</v>
      </c>
      <c r="G297" s="19" t="s">
        <v>74</v>
      </c>
      <c r="H297" s="18">
        <v>11.206666666666667</v>
      </c>
      <c r="I297" s="17" t="s">
        <v>56</v>
      </c>
      <c r="J297" s="17" t="s">
        <v>55</v>
      </c>
      <c r="K297" s="17"/>
      <c r="L297" s="17"/>
      <c r="M297" s="16" t="str">
        <f>HYPERLINK("http://slimages.macys.com/is/image/MCY/19182892 ")</f>
        <v xml:space="preserve">http://slimages.macys.com/is/image/MCY/19182892 </v>
      </c>
      <c r="N297" s="30"/>
    </row>
    <row r="298" spans="1:14" ht="60" x14ac:dyDescent="0.25">
      <c r="A298" s="19" t="s">
        <v>3491</v>
      </c>
      <c r="B298" s="17" t="s">
        <v>3490</v>
      </c>
      <c r="C298" s="20">
        <v>1</v>
      </c>
      <c r="D298" s="18">
        <v>59.5</v>
      </c>
      <c r="E298" s="20" t="s">
        <v>3484</v>
      </c>
      <c r="F298" s="17" t="s">
        <v>206</v>
      </c>
      <c r="G298" s="19" t="s">
        <v>351</v>
      </c>
      <c r="H298" s="18">
        <v>11.2</v>
      </c>
      <c r="I298" s="17" t="s">
        <v>1891</v>
      </c>
      <c r="J298" s="17" t="s">
        <v>67</v>
      </c>
      <c r="K298" s="17"/>
      <c r="L298" s="17"/>
      <c r="M298" s="16" t="str">
        <f>HYPERLINK("http://slimages.macys.com/is/image/MCY/18982298 ")</f>
        <v xml:space="preserve">http://slimages.macys.com/is/image/MCY/18982298 </v>
      </c>
      <c r="N298" s="30"/>
    </row>
    <row r="299" spans="1:14" ht="60" x14ac:dyDescent="0.25">
      <c r="A299" s="19" t="s">
        <v>6439</v>
      </c>
      <c r="B299" s="17" t="s">
        <v>6438</v>
      </c>
      <c r="C299" s="20">
        <v>1</v>
      </c>
      <c r="D299" s="18">
        <v>48</v>
      </c>
      <c r="E299" s="20" t="s">
        <v>6437</v>
      </c>
      <c r="F299" s="17" t="s">
        <v>23</v>
      </c>
      <c r="G299" s="19" t="s">
        <v>69</v>
      </c>
      <c r="H299" s="18">
        <v>11.2</v>
      </c>
      <c r="I299" s="17" t="s">
        <v>133</v>
      </c>
      <c r="J299" s="17" t="s">
        <v>584</v>
      </c>
      <c r="K299" s="17"/>
      <c r="L299" s="17"/>
      <c r="M299" s="16" t="str">
        <f>HYPERLINK("http://slimages.macys.com/is/image/MCY/18581026 ")</f>
        <v xml:space="preserve">http://slimages.macys.com/is/image/MCY/18581026 </v>
      </c>
      <c r="N299" s="30"/>
    </row>
    <row r="300" spans="1:14" ht="84" x14ac:dyDescent="0.25">
      <c r="A300" s="19" t="s">
        <v>6436</v>
      </c>
      <c r="B300" s="17" t="s">
        <v>6435</v>
      </c>
      <c r="C300" s="20">
        <v>1</v>
      </c>
      <c r="D300" s="18">
        <v>59</v>
      </c>
      <c r="E300" s="20" t="s">
        <v>2635</v>
      </c>
      <c r="F300" s="17" t="s">
        <v>28</v>
      </c>
      <c r="G300" s="19" t="s">
        <v>27</v>
      </c>
      <c r="H300" s="18">
        <v>11.113333333333333</v>
      </c>
      <c r="I300" s="17" t="s">
        <v>56</v>
      </c>
      <c r="J300" s="17" t="s">
        <v>55</v>
      </c>
      <c r="K300" s="17" t="s">
        <v>389</v>
      </c>
      <c r="L300" s="17" t="s">
        <v>2634</v>
      </c>
      <c r="M300" s="16" t="str">
        <f>HYPERLINK("http://slimages.macys.com/is/image/MCY/13985479 ")</f>
        <v xml:space="preserve">http://slimages.macys.com/is/image/MCY/13985479 </v>
      </c>
      <c r="N300" s="30"/>
    </row>
    <row r="301" spans="1:14" ht="60" x14ac:dyDescent="0.25">
      <c r="A301" s="19" t="s">
        <v>6434</v>
      </c>
      <c r="B301" s="17" t="s">
        <v>6433</v>
      </c>
      <c r="C301" s="20">
        <v>1</v>
      </c>
      <c r="D301" s="18">
        <v>59.5</v>
      </c>
      <c r="E301" s="20">
        <v>30097116</v>
      </c>
      <c r="F301" s="17" t="s">
        <v>51</v>
      </c>
      <c r="G301" s="19" t="s">
        <v>57</v>
      </c>
      <c r="H301" s="18">
        <v>11.106666666666667</v>
      </c>
      <c r="I301" s="17" t="s">
        <v>80</v>
      </c>
      <c r="J301" s="17" t="s">
        <v>513</v>
      </c>
      <c r="K301" s="17"/>
      <c r="L301" s="17"/>
      <c r="M301" s="16" t="str">
        <f>HYPERLINK("http://slimages.macys.com/is/image/MCY/18849032 ")</f>
        <v xml:space="preserve">http://slimages.macys.com/is/image/MCY/18849032 </v>
      </c>
      <c r="N301" s="30"/>
    </row>
    <row r="302" spans="1:14" ht="60" x14ac:dyDescent="0.25">
      <c r="A302" s="19" t="s">
        <v>6432</v>
      </c>
      <c r="B302" s="17" t="s">
        <v>6431</v>
      </c>
      <c r="C302" s="20">
        <v>1</v>
      </c>
      <c r="D302" s="18">
        <v>59</v>
      </c>
      <c r="E302" s="20" t="s">
        <v>6430</v>
      </c>
      <c r="F302" s="17" t="s">
        <v>58</v>
      </c>
      <c r="G302" s="19" t="s">
        <v>62</v>
      </c>
      <c r="H302" s="18">
        <v>11.033333333333333</v>
      </c>
      <c r="I302" s="17" t="s">
        <v>820</v>
      </c>
      <c r="J302" s="17" t="s">
        <v>67</v>
      </c>
      <c r="K302" s="17"/>
      <c r="L302" s="17"/>
      <c r="M302" s="16" t="str">
        <f>HYPERLINK("http://slimages.macys.com/is/image/MCY/18689037 ")</f>
        <v xml:space="preserve">http://slimages.macys.com/is/image/MCY/18689037 </v>
      </c>
      <c r="N302" s="30"/>
    </row>
    <row r="303" spans="1:14" ht="60" x14ac:dyDescent="0.25">
      <c r="A303" s="19" t="s">
        <v>6429</v>
      </c>
      <c r="B303" s="17" t="s">
        <v>6428</v>
      </c>
      <c r="C303" s="20">
        <v>1</v>
      </c>
      <c r="D303" s="18">
        <v>59</v>
      </c>
      <c r="E303" s="20" t="s">
        <v>6427</v>
      </c>
      <c r="F303" s="17" t="s">
        <v>23</v>
      </c>
      <c r="G303" s="19"/>
      <c r="H303" s="18">
        <v>11.013333333333334</v>
      </c>
      <c r="I303" s="17" t="s">
        <v>33</v>
      </c>
      <c r="J303" s="17" t="s">
        <v>404</v>
      </c>
      <c r="K303" s="17"/>
      <c r="L303" s="17"/>
      <c r="M303" s="16" t="str">
        <f>HYPERLINK("http://slimages.macys.com/is/image/MCY/18987369 ")</f>
        <v xml:space="preserve">http://slimages.macys.com/is/image/MCY/18987369 </v>
      </c>
      <c r="N303" s="30"/>
    </row>
    <row r="304" spans="1:14" ht="60" x14ac:dyDescent="0.25">
      <c r="A304" s="19" t="s">
        <v>6426</v>
      </c>
      <c r="B304" s="17" t="s">
        <v>6425</v>
      </c>
      <c r="C304" s="20">
        <v>1</v>
      </c>
      <c r="D304" s="18">
        <v>59.5</v>
      </c>
      <c r="E304" s="20" t="s">
        <v>2631</v>
      </c>
      <c r="F304" s="17" t="s">
        <v>272</v>
      </c>
      <c r="G304" s="19" t="s">
        <v>139</v>
      </c>
      <c r="H304" s="18">
        <v>10.906666666666666</v>
      </c>
      <c r="I304" s="17" t="s">
        <v>267</v>
      </c>
      <c r="J304" s="17" t="s">
        <v>32</v>
      </c>
      <c r="K304" s="17"/>
      <c r="L304" s="17"/>
      <c r="M304" s="16" t="str">
        <f>HYPERLINK("http://slimages.macys.com/is/image/MCY/18747668 ")</f>
        <v xml:space="preserve">http://slimages.macys.com/is/image/MCY/18747668 </v>
      </c>
      <c r="N304" s="30"/>
    </row>
    <row r="305" spans="1:14" ht="60" x14ac:dyDescent="0.25">
      <c r="A305" s="19" t="s">
        <v>6424</v>
      </c>
      <c r="B305" s="17" t="s">
        <v>6423</v>
      </c>
      <c r="C305" s="20">
        <v>1</v>
      </c>
      <c r="D305" s="18">
        <v>49.5</v>
      </c>
      <c r="E305" s="20" t="s">
        <v>6422</v>
      </c>
      <c r="F305" s="17" t="s">
        <v>91</v>
      </c>
      <c r="G305" s="19" t="s">
        <v>197</v>
      </c>
      <c r="H305" s="18">
        <v>10.893333333333333</v>
      </c>
      <c r="I305" s="17" t="s">
        <v>654</v>
      </c>
      <c r="J305" s="17" t="s">
        <v>653</v>
      </c>
      <c r="K305" s="17"/>
      <c r="L305" s="17"/>
      <c r="M305" s="16" t="str">
        <f>HYPERLINK("http://slimages.macys.com/is/image/MCY/19293755 ")</f>
        <v xml:space="preserve">http://slimages.macys.com/is/image/MCY/19293755 </v>
      </c>
      <c r="N305" s="30"/>
    </row>
    <row r="306" spans="1:14" ht="60" x14ac:dyDescent="0.25">
      <c r="A306" s="19" t="s">
        <v>1845</v>
      </c>
      <c r="B306" s="17" t="s">
        <v>1844</v>
      </c>
      <c r="C306" s="20">
        <v>1</v>
      </c>
      <c r="D306" s="18">
        <v>49</v>
      </c>
      <c r="E306" s="20" t="s">
        <v>1843</v>
      </c>
      <c r="F306" s="17" t="s">
        <v>562</v>
      </c>
      <c r="G306" s="19" t="s">
        <v>1140</v>
      </c>
      <c r="H306" s="18">
        <v>10.813333333333334</v>
      </c>
      <c r="I306" s="17" t="s">
        <v>49</v>
      </c>
      <c r="J306" s="17" t="s">
        <v>48</v>
      </c>
      <c r="K306" s="17"/>
      <c r="L306" s="17"/>
      <c r="M306" s="16" t="str">
        <f>HYPERLINK("http://slimages.macys.com/is/image/MCY/19191520 ")</f>
        <v xml:space="preserve">http://slimages.macys.com/is/image/MCY/19191520 </v>
      </c>
      <c r="N306" s="30"/>
    </row>
    <row r="307" spans="1:14" ht="60" x14ac:dyDescent="0.25">
      <c r="A307" s="19" t="s">
        <v>6421</v>
      </c>
      <c r="B307" s="17" t="s">
        <v>6420</v>
      </c>
      <c r="C307" s="20">
        <v>1</v>
      </c>
      <c r="D307" s="18">
        <v>41.3</v>
      </c>
      <c r="E307" s="20" t="s">
        <v>1835</v>
      </c>
      <c r="F307" s="17" t="s">
        <v>28</v>
      </c>
      <c r="G307" s="19" t="s">
        <v>74</v>
      </c>
      <c r="H307" s="18">
        <v>10.773333333333335</v>
      </c>
      <c r="I307" s="17" t="s">
        <v>42</v>
      </c>
      <c r="J307" s="17" t="s">
        <v>41</v>
      </c>
      <c r="K307" s="17"/>
      <c r="L307" s="17"/>
      <c r="M307" s="16" t="str">
        <f>HYPERLINK("http://slimages.macys.com/is/image/MCY/18545247 ")</f>
        <v xml:space="preserve">http://slimages.macys.com/is/image/MCY/18545247 </v>
      </c>
      <c r="N307" s="30"/>
    </row>
    <row r="308" spans="1:14" ht="60" x14ac:dyDescent="0.25">
      <c r="A308" s="19" t="s">
        <v>6419</v>
      </c>
      <c r="B308" s="17" t="s">
        <v>6418</v>
      </c>
      <c r="C308" s="20">
        <v>1</v>
      </c>
      <c r="D308" s="18">
        <v>41.3</v>
      </c>
      <c r="E308" s="20" t="s">
        <v>324</v>
      </c>
      <c r="F308" s="17" t="s">
        <v>58</v>
      </c>
      <c r="G308" s="19" t="s">
        <v>57</v>
      </c>
      <c r="H308" s="18">
        <v>10.773333333333335</v>
      </c>
      <c r="I308" s="17" t="s">
        <v>42</v>
      </c>
      <c r="J308" s="17" t="s">
        <v>41</v>
      </c>
      <c r="K308" s="17"/>
      <c r="L308" s="17"/>
      <c r="M308" s="16" t="str">
        <f>HYPERLINK("http://slimages.macys.com/is/image/MCY/18757201 ")</f>
        <v xml:space="preserve">http://slimages.macys.com/is/image/MCY/18757201 </v>
      </c>
      <c r="N308" s="30"/>
    </row>
    <row r="309" spans="1:14" ht="60" x14ac:dyDescent="0.25">
      <c r="A309" s="19" t="s">
        <v>6417</v>
      </c>
      <c r="B309" s="17" t="s">
        <v>6416</v>
      </c>
      <c r="C309" s="20">
        <v>1</v>
      </c>
      <c r="D309" s="18">
        <v>41.3</v>
      </c>
      <c r="E309" s="20" t="s">
        <v>6415</v>
      </c>
      <c r="F309" s="17" t="s">
        <v>58</v>
      </c>
      <c r="G309" s="19" t="s">
        <v>62</v>
      </c>
      <c r="H309" s="18">
        <v>10.773333333333335</v>
      </c>
      <c r="I309" s="17" t="s">
        <v>42</v>
      </c>
      <c r="J309" s="17" t="s">
        <v>41</v>
      </c>
      <c r="K309" s="17"/>
      <c r="L309" s="17"/>
      <c r="M309" s="16" t="str">
        <f>HYPERLINK("http://slimages.macys.com/is/image/MCY/18903929 ")</f>
        <v xml:space="preserve">http://slimages.macys.com/is/image/MCY/18903929 </v>
      </c>
      <c r="N309" s="30"/>
    </row>
    <row r="310" spans="1:14" ht="60" x14ac:dyDescent="0.25">
      <c r="A310" s="19" t="s">
        <v>6414</v>
      </c>
      <c r="B310" s="17" t="s">
        <v>6413</v>
      </c>
      <c r="C310" s="20">
        <v>1</v>
      </c>
      <c r="D310" s="18">
        <v>69</v>
      </c>
      <c r="E310" s="20">
        <v>2331008</v>
      </c>
      <c r="F310" s="17" t="s">
        <v>2575</v>
      </c>
      <c r="G310" s="19" t="s">
        <v>22</v>
      </c>
      <c r="H310" s="18">
        <v>10.666666666666668</v>
      </c>
      <c r="I310" s="17" t="s">
        <v>80</v>
      </c>
      <c r="J310" s="17" t="s">
        <v>293</v>
      </c>
      <c r="K310" s="17"/>
      <c r="L310" s="17"/>
      <c r="M310" s="16" t="str">
        <f>HYPERLINK("http://slimages.macys.com/is/image/MCY/19109723 ")</f>
        <v xml:space="preserve">http://slimages.macys.com/is/image/MCY/19109723 </v>
      </c>
      <c r="N310" s="30"/>
    </row>
    <row r="311" spans="1:14" ht="60" x14ac:dyDescent="0.25">
      <c r="A311" s="19" t="s">
        <v>5655</v>
      </c>
      <c r="B311" s="17" t="s">
        <v>5654</v>
      </c>
      <c r="C311" s="20">
        <v>7</v>
      </c>
      <c r="D311" s="18">
        <v>35</v>
      </c>
      <c r="E311" s="20" t="s">
        <v>318</v>
      </c>
      <c r="F311" s="17" t="s">
        <v>23</v>
      </c>
      <c r="G311" s="19" t="s">
        <v>17</v>
      </c>
      <c r="H311" s="18">
        <v>10.633333333333333</v>
      </c>
      <c r="I311" s="17" t="s">
        <v>16</v>
      </c>
      <c r="J311" s="17" t="s">
        <v>15</v>
      </c>
      <c r="K311" s="17"/>
      <c r="L311" s="17"/>
      <c r="M311" s="16" t="str">
        <f>HYPERLINK("http://slimages.macys.com/is/image/MCY/18798857 ")</f>
        <v xml:space="preserve">http://slimages.macys.com/is/image/MCY/18798857 </v>
      </c>
      <c r="N311" s="30"/>
    </row>
    <row r="312" spans="1:14" ht="60" x14ac:dyDescent="0.25">
      <c r="A312" s="19" t="s">
        <v>6412</v>
      </c>
      <c r="B312" s="17" t="s">
        <v>6411</v>
      </c>
      <c r="C312" s="20">
        <v>1</v>
      </c>
      <c r="D312" s="18">
        <v>69.5</v>
      </c>
      <c r="E312" s="20" t="s">
        <v>6410</v>
      </c>
      <c r="F312" s="17" t="s">
        <v>58</v>
      </c>
      <c r="G312" s="19" t="s">
        <v>271</v>
      </c>
      <c r="H312" s="18">
        <v>10.313333333333333</v>
      </c>
      <c r="I312" s="17" t="s">
        <v>1891</v>
      </c>
      <c r="J312" s="17" t="s">
        <v>2435</v>
      </c>
      <c r="K312" s="17"/>
      <c r="L312" s="17"/>
      <c r="M312" s="16" t="str">
        <f>HYPERLINK("http://slimages.macys.com/is/image/MCY/18828230 ")</f>
        <v xml:space="preserve">http://slimages.macys.com/is/image/MCY/18828230 </v>
      </c>
      <c r="N312" s="30"/>
    </row>
    <row r="313" spans="1:14" ht="60" x14ac:dyDescent="0.25">
      <c r="A313" s="19" t="s">
        <v>6409</v>
      </c>
      <c r="B313" s="17" t="s">
        <v>6408</v>
      </c>
      <c r="C313" s="20">
        <v>1</v>
      </c>
      <c r="D313" s="18">
        <v>54.5</v>
      </c>
      <c r="E313" s="20" t="s">
        <v>1832</v>
      </c>
      <c r="F313" s="17" t="s">
        <v>535</v>
      </c>
      <c r="G313" s="19" t="s">
        <v>898</v>
      </c>
      <c r="H313" s="18">
        <v>10.266666666666667</v>
      </c>
      <c r="I313" s="17" t="s">
        <v>68</v>
      </c>
      <c r="J313" s="17" t="s">
        <v>67</v>
      </c>
      <c r="K313" s="17" t="s">
        <v>389</v>
      </c>
      <c r="L313" s="17" t="s">
        <v>1804</v>
      </c>
      <c r="M313" s="16" t="str">
        <f>HYPERLINK("http://slimages.macys.com/is/image/MCY/1929248 ")</f>
        <v xml:space="preserve">http://slimages.macys.com/is/image/MCY/1929248 </v>
      </c>
      <c r="N313" s="30"/>
    </row>
    <row r="314" spans="1:14" ht="60" x14ac:dyDescent="0.25">
      <c r="A314" s="19" t="s">
        <v>6407</v>
      </c>
      <c r="B314" s="17" t="s">
        <v>6406</v>
      </c>
      <c r="C314" s="20">
        <v>1</v>
      </c>
      <c r="D314" s="18">
        <v>54.5</v>
      </c>
      <c r="E314" s="20" t="s">
        <v>6403</v>
      </c>
      <c r="F314" s="17" t="s">
        <v>23</v>
      </c>
      <c r="G314" s="19" t="s">
        <v>139</v>
      </c>
      <c r="H314" s="18">
        <v>10.266666666666667</v>
      </c>
      <c r="I314" s="17" t="s">
        <v>1891</v>
      </c>
      <c r="J314" s="17" t="s">
        <v>67</v>
      </c>
      <c r="K314" s="17"/>
      <c r="L314" s="17"/>
      <c r="M314" s="16" t="str">
        <f>HYPERLINK("http://slimages.macys.com/is/image/MCY/18344888 ")</f>
        <v xml:space="preserve">http://slimages.macys.com/is/image/MCY/18344888 </v>
      </c>
      <c r="N314" s="30"/>
    </row>
    <row r="315" spans="1:14" ht="60" x14ac:dyDescent="0.25">
      <c r="A315" s="19" t="s">
        <v>6405</v>
      </c>
      <c r="B315" s="17" t="s">
        <v>6404</v>
      </c>
      <c r="C315" s="20">
        <v>1</v>
      </c>
      <c r="D315" s="18">
        <v>54.5</v>
      </c>
      <c r="E315" s="20" t="s">
        <v>6403</v>
      </c>
      <c r="F315" s="17" t="s">
        <v>23</v>
      </c>
      <c r="G315" s="19" t="s">
        <v>351</v>
      </c>
      <c r="H315" s="18">
        <v>10.266666666666667</v>
      </c>
      <c r="I315" s="17" t="s">
        <v>1891</v>
      </c>
      <c r="J315" s="17" t="s">
        <v>67</v>
      </c>
      <c r="K315" s="17"/>
      <c r="L315" s="17"/>
      <c r="M315" s="16" t="str">
        <f>HYPERLINK("http://slimages.macys.com/is/image/MCY/18344888 ")</f>
        <v xml:space="preserve">http://slimages.macys.com/is/image/MCY/18344888 </v>
      </c>
      <c r="N315" s="30"/>
    </row>
    <row r="316" spans="1:14" ht="60" x14ac:dyDescent="0.25">
      <c r="A316" s="19" t="s">
        <v>6402</v>
      </c>
      <c r="B316" s="17" t="s">
        <v>6401</v>
      </c>
      <c r="C316" s="20">
        <v>1</v>
      </c>
      <c r="D316" s="18">
        <v>69</v>
      </c>
      <c r="E316" s="20">
        <v>2321311</v>
      </c>
      <c r="F316" s="17" t="s">
        <v>23</v>
      </c>
      <c r="G316" s="19" t="s">
        <v>62</v>
      </c>
      <c r="H316" s="18">
        <v>10</v>
      </c>
      <c r="I316" s="17" t="s">
        <v>80</v>
      </c>
      <c r="J316" s="17" t="s">
        <v>293</v>
      </c>
      <c r="K316" s="17"/>
      <c r="L316" s="17"/>
      <c r="M316" s="16" t="str">
        <f>HYPERLINK("http://slimages.macys.com/is/image/MCY/18947668 ")</f>
        <v xml:space="preserve">http://slimages.macys.com/is/image/MCY/18947668 </v>
      </c>
      <c r="N316" s="30"/>
    </row>
    <row r="317" spans="1:14" ht="60" x14ac:dyDescent="0.25">
      <c r="A317" s="19" t="s">
        <v>6400</v>
      </c>
      <c r="B317" s="17" t="s">
        <v>6399</v>
      </c>
      <c r="C317" s="20">
        <v>1</v>
      </c>
      <c r="D317" s="18">
        <v>69</v>
      </c>
      <c r="E317" s="20">
        <v>2321340</v>
      </c>
      <c r="F317" s="17" t="s">
        <v>70</v>
      </c>
      <c r="G317" s="19" t="s">
        <v>17</v>
      </c>
      <c r="H317" s="18">
        <v>10</v>
      </c>
      <c r="I317" s="17" t="s">
        <v>80</v>
      </c>
      <c r="J317" s="17" t="s">
        <v>293</v>
      </c>
      <c r="K317" s="17"/>
      <c r="L317" s="17"/>
      <c r="M317" s="16" t="str">
        <f>HYPERLINK("http://slimages.macys.com/is/image/MCY/18605782 ")</f>
        <v xml:space="preserve">http://slimages.macys.com/is/image/MCY/18605782 </v>
      </c>
      <c r="N317" s="30"/>
    </row>
    <row r="318" spans="1:14" ht="60" x14ac:dyDescent="0.25">
      <c r="A318" s="19" t="s">
        <v>6398</v>
      </c>
      <c r="B318" s="17" t="s">
        <v>6397</v>
      </c>
      <c r="C318" s="20">
        <v>1</v>
      </c>
      <c r="D318" s="18">
        <v>59</v>
      </c>
      <c r="E318" s="20" t="s">
        <v>6396</v>
      </c>
      <c r="F318" s="17" t="s">
        <v>91</v>
      </c>
      <c r="G318" s="19" t="s">
        <v>50</v>
      </c>
      <c r="H318" s="18">
        <v>9.8333333333333339</v>
      </c>
      <c r="I318" s="17" t="s">
        <v>129</v>
      </c>
      <c r="J318" s="17" t="s">
        <v>128</v>
      </c>
      <c r="K318" s="17"/>
      <c r="L318" s="17"/>
      <c r="M318" s="16" t="str">
        <f>HYPERLINK("http://slimages.macys.com/is/image/MCY/19115024 ")</f>
        <v xml:space="preserve">http://slimages.macys.com/is/image/MCY/19115024 </v>
      </c>
      <c r="N318" s="30"/>
    </row>
    <row r="319" spans="1:14" ht="60" x14ac:dyDescent="0.25">
      <c r="A319" s="19" t="s">
        <v>6395</v>
      </c>
      <c r="B319" s="17" t="s">
        <v>6394</v>
      </c>
      <c r="C319" s="20">
        <v>1</v>
      </c>
      <c r="D319" s="18">
        <v>59</v>
      </c>
      <c r="E319" s="20" t="s">
        <v>1065</v>
      </c>
      <c r="F319" s="17" t="s">
        <v>91</v>
      </c>
      <c r="G319" s="19" t="s">
        <v>101</v>
      </c>
      <c r="H319" s="18">
        <v>9.8333333333333339</v>
      </c>
      <c r="I319" s="17" t="s">
        <v>129</v>
      </c>
      <c r="J319" s="17" t="s">
        <v>128</v>
      </c>
      <c r="K319" s="17"/>
      <c r="L319" s="17"/>
      <c r="M319" s="16" t="str">
        <f>HYPERLINK("http://slimages.macys.com/is/image/MCY/19144447 ")</f>
        <v xml:space="preserve">http://slimages.macys.com/is/image/MCY/19144447 </v>
      </c>
      <c r="N319" s="30"/>
    </row>
    <row r="320" spans="1:14" ht="60" x14ac:dyDescent="0.25">
      <c r="A320" s="19" t="s">
        <v>6393</v>
      </c>
      <c r="B320" s="17" t="s">
        <v>6392</v>
      </c>
      <c r="C320" s="20">
        <v>1</v>
      </c>
      <c r="D320" s="18">
        <v>59</v>
      </c>
      <c r="E320" s="20">
        <v>7099645</v>
      </c>
      <c r="F320" s="17" t="s">
        <v>508</v>
      </c>
      <c r="G320" s="19" t="s">
        <v>101</v>
      </c>
      <c r="H320" s="18">
        <v>9.8333333333333339</v>
      </c>
      <c r="I320" s="17" t="s">
        <v>111</v>
      </c>
      <c r="J320" s="17" t="s">
        <v>110</v>
      </c>
      <c r="K320" s="17"/>
      <c r="L320" s="17"/>
      <c r="M320" s="16" t="str">
        <f>HYPERLINK("http://slimages.macys.com/is/image/MCY/19443586 ")</f>
        <v xml:space="preserve">http://slimages.macys.com/is/image/MCY/19443586 </v>
      </c>
      <c r="N320" s="30"/>
    </row>
    <row r="321" spans="1:14" ht="60" x14ac:dyDescent="0.25">
      <c r="A321" s="19" t="s">
        <v>6391</v>
      </c>
      <c r="B321" s="17" t="s">
        <v>6390</v>
      </c>
      <c r="C321" s="20">
        <v>1</v>
      </c>
      <c r="D321" s="18">
        <v>49</v>
      </c>
      <c r="E321" s="20">
        <v>10813218</v>
      </c>
      <c r="F321" s="17" t="s">
        <v>575</v>
      </c>
      <c r="G321" s="19" t="s">
        <v>139</v>
      </c>
      <c r="H321" s="18">
        <v>9.8000000000000007</v>
      </c>
      <c r="I321" s="17" t="s">
        <v>358</v>
      </c>
      <c r="J321" s="17" t="s">
        <v>554</v>
      </c>
      <c r="K321" s="17"/>
      <c r="L321" s="17"/>
      <c r="M321" s="16" t="str">
        <f>HYPERLINK("http://slimages.macys.com/is/image/MCY/19634022 ")</f>
        <v xml:space="preserve">http://slimages.macys.com/is/image/MCY/19634022 </v>
      </c>
      <c r="N321" s="30"/>
    </row>
    <row r="322" spans="1:14" ht="60" x14ac:dyDescent="0.25">
      <c r="A322" s="19" t="s">
        <v>1064</v>
      </c>
      <c r="B322" s="17" t="s">
        <v>1063</v>
      </c>
      <c r="C322" s="20">
        <v>1</v>
      </c>
      <c r="D322" s="18">
        <v>49</v>
      </c>
      <c r="E322" s="20">
        <v>10813218</v>
      </c>
      <c r="F322" s="17" t="s">
        <v>575</v>
      </c>
      <c r="G322" s="19" t="s">
        <v>351</v>
      </c>
      <c r="H322" s="18">
        <v>9.8000000000000007</v>
      </c>
      <c r="I322" s="17" t="s">
        <v>358</v>
      </c>
      <c r="J322" s="17" t="s">
        <v>554</v>
      </c>
      <c r="K322" s="17"/>
      <c r="L322" s="17"/>
      <c r="M322" s="16" t="str">
        <f>HYPERLINK("http://slimages.macys.com/is/image/MCY/19634022 ")</f>
        <v xml:space="preserve">http://slimages.macys.com/is/image/MCY/19634022 </v>
      </c>
      <c r="N322" s="30"/>
    </row>
    <row r="323" spans="1:14" ht="60" x14ac:dyDescent="0.25">
      <c r="A323" s="19" t="s">
        <v>4969</v>
      </c>
      <c r="B323" s="17" t="s">
        <v>4968</v>
      </c>
      <c r="C323" s="20">
        <v>1</v>
      </c>
      <c r="D323" s="18">
        <v>50</v>
      </c>
      <c r="E323" s="20" t="s">
        <v>4965</v>
      </c>
      <c r="F323" s="17" t="s">
        <v>164</v>
      </c>
      <c r="G323" s="19" t="s">
        <v>22</v>
      </c>
      <c r="H323" s="18">
        <v>9.7666666666666675</v>
      </c>
      <c r="I323" s="17" t="s">
        <v>16</v>
      </c>
      <c r="J323" s="17" t="s">
        <v>15</v>
      </c>
      <c r="K323" s="17"/>
      <c r="L323" s="17"/>
      <c r="M323" s="16" t="str">
        <f>HYPERLINK("http://slimages.macys.com/is/image/MCY/19147410 ")</f>
        <v xml:space="preserve">http://slimages.macys.com/is/image/MCY/19147410 </v>
      </c>
      <c r="N323" s="30"/>
    </row>
    <row r="324" spans="1:14" ht="60" x14ac:dyDescent="0.25">
      <c r="A324" s="19" t="s">
        <v>4967</v>
      </c>
      <c r="B324" s="17" t="s">
        <v>4966</v>
      </c>
      <c r="C324" s="20">
        <v>1</v>
      </c>
      <c r="D324" s="18">
        <v>50</v>
      </c>
      <c r="E324" s="20" t="s">
        <v>4965</v>
      </c>
      <c r="F324" s="17" t="s">
        <v>164</v>
      </c>
      <c r="G324" s="19" t="s">
        <v>17</v>
      </c>
      <c r="H324" s="18">
        <v>9.7666666666666675</v>
      </c>
      <c r="I324" s="17" t="s">
        <v>16</v>
      </c>
      <c r="J324" s="17" t="s">
        <v>15</v>
      </c>
      <c r="K324" s="17"/>
      <c r="L324" s="17"/>
      <c r="M324" s="16" t="str">
        <f>HYPERLINK("http://slimages.macys.com/is/image/MCY/19147410 ")</f>
        <v xml:space="preserve">http://slimages.macys.com/is/image/MCY/19147410 </v>
      </c>
      <c r="N324" s="30"/>
    </row>
    <row r="325" spans="1:14" ht="60" x14ac:dyDescent="0.25">
      <c r="A325" s="19" t="s">
        <v>6389</v>
      </c>
      <c r="B325" s="17" t="s">
        <v>6388</v>
      </c>
      <c r="C325" s="20">
        <v>1</v>
      </c>
      <c r="D325" s="18">
        <v>44</v>
      </c>
      <c r="E325" s="20" t="s">
        <v>305</v>
      </c>
      <c r="F325" s="17" t="s">
        <v>575</v>
      </c>
      <c r="G325" s="19" t="s">
        <v>62</v>
      </c>
      <c r="H325" s="18">
        <v>9.706666666666667</v>
      </c>
      <c r="I325" s="17" t="s">
        <v>49</v>
      </c>
      <c r="J325" s="17" t="s">
        <v>48</v>
      </c>
      <c r="K325" s="17"/>
      <c r="L325" s="17"/>
      <c r="M325" s="16" t="str">
        <f>HYPERLINK("http://slimages.macys.com/is/image/MCY/19191461 ")</f>
        <v xml:space="preserve">http://slimages.macys.com/is/image/MCY/19191461 </v>
      </c>
      <c r="N325" s="30"/>
    </row>
    <row r="326" spans="1:14" ht="60" x14ac:dyDescent="0.25">
      <c r="A326" s="19" t="s">
        <v>6387</v>
      </c>
      <c r="B326" s="17" t="s">
        <v>6386</v>
      </c>
      <c r="C326" s="20">
        <v>1</v>
      </c>
      <c r="D326" s="18">
        <v>35</v>
      </c>
      <c r="E326" s="20" t="s">
        <v>6385</v>
      </c>
      <c r="F326" s="17" t="s">
        <v>23</v>
      </c>
      <c r="G326" s="19" t="s">
        <v>50</v>
      </c>
      <c r="H326" s="18">
        <v>9.4666666666666668</v>
      </c>
      <c r="I326" s="17" t="s">
        <v>16</v>
      </c>
      <c r="J326" s="17" t="s">
        <v>15</v>
      </c>
      <c r="K326" s="17"/>
      <c r="L326" s="17"/>
      <c r="M326" s="16" t="str">
        <f>HYPERLINK("http://slimages.macys.com/is/image/MCY/17520417 ")</f>
        <v xml:space="preserve">http://slimages.macys.com/is/image/MCY/17520417 </v>
      </c>
      <c r="N326" s="30"/>
    </row>
    <row r="327" spans="1:14" ht="60" x14ac:dyDescent="0.25">
      <c r="A327" s="19" t="s">
        <v>6384</v>
      </c>
      <c r="B327" s="17" t="s">
        <v>6383</v>
      </c>
      <c r="C327" s="20">
        <v>1</v>
      </c>
      <c r="D327" s="18">
        <v>44</v>
      </c>
      <c r="E327" s="20" t="s">
        <v>6382</v>
      </c>
      <c r="F327" s="17" t="s">
        <v>58</v>
      </c>
      <c r="G327" s="19" t="s">
        <v>101</v>
      </c>
      <c r="H327" s="18">
        <v>9.3933333333333344</v>
      </c>
      <c r="I327" s="17" t="s">
        <v>49</v>
      </c>
      <c r="J327" s="17" t="s">
        <v>48</v>
      </c>
      <c r="K327" s="17"/>
      <c r="L327" s="17"/>
      <c r="M327" s="16" t="str">
        <f>HYPERLINK("http://slimages.macys.com/is/image/MCY/18264769 ")</f>
        <v xml:space="preserve">http://slimages.macys.com/is/image/MCY/18264769 </v>
      </c>
      <c r="N327" s="30"/>
    </row>
    <row r="328" spans="1:14" ht="60" x14ac:dyDescent="0.25">
      <c r="A328" s="19" t="s">
        <v>6381</v>
      </c>
      <c r="B328" s="17" t="s">
        <v>6380</v>
      </c>
      <c r="C328" s="20">
        <v>1</v>
      </c>
      <c r="D328" s="18">
        <v>59.5</v>
      </c>
      <c r="E328" s="20" t="s">
        <v>6379</v>
      </c>
      <c r="F328" s="17" t="s">
        <v>28</v>
      </c>
      <c r="G328" s="19" t="s">
        <v>74</v>
      </c>
      <c r="H328" s="18">
        <v>9.32</v>
      </c>
      <c r="I328" s="17" t="s">
        <v>56</v>
      </c>
      <c r="J328" s="17" t="s">
        <v>55</v>
      </c>
      <c r="K328" s="17"/>
      <c r="L328" s="17"/>
      <c r="M328" s="16" t="str">
        <f>HYPERLINK("http://slimages.macys.com/is/image/MCY/19754947 ")</f>
        <v xml:space="preserve">http://slimages.macys.com/is/image/MCY/19754947 </v>
      </c>
      <c r="N328" s="30"/>
    </row>
    <row r="329" spans="1:14" ht="60" x14ac:dyDescent="0.25">
      <c r="A329" s="19" t="s">
        <v>6378</v>
      </c>
      <c r="B329" s="17" t="s">
        <v>6377</v>
      </c>
      <c r="C329" s="20">
        <v>1</v>
      </c>
      <c r="D329" s="18">
        <v>49.5</v>
      </c>
      <c r="E329" s="20" t="s">
        <v>3403</v>
      </c>
      <c r="F329" s="17" t="s">
        <v>206</v>
      </c>
      <c r="G329" s="19" t="s">
        <v>271</v>
      </c>
      <c r="H329" s="18">
        <v>9.32</v>
      </c>
      <c r="I329" s="17" t="s">
        <v>1891</v>
      </c>
      <c r="J329" s="17" t="s">
        <v>2435</v>
      </c>
      <c r="K329" s="17"/>
      <c r="L329" s="17"/>
      <c r="M329" s="16" t="str">
        <f>HYPERLINK("http://slimages.macys.com/is/image/MCY/19018261 ")</f>
        <v xml:space="preserve">http://slimages.macys.com/is/image/MCY/19018261 </v>
      </c>
      <c r="N329" s="30"/>
    </row>
    <row r="330" spans="1:14" ht="60" x14ac:dyDescent="0.25">
      <c r="A330" s="19" t="s">
        <v>1049</v>
      </c>
      <c r="B330" s="17" t="s">
        <v>1048</v>
      </c>
      <c r="C330" s="20">
        <v>1</v>
      </c>
      <c r="D330" s="18">
        <v>49.5</v>
      </c>
      <c r="E330" s="20" t="s">
        <v>286</v>
      </c>
      <c r="F330" s="17" t="s">
        <v>51</v>
      </c>
      <c r="G330" s="19" t="s">
        <v>57</v>
      </c>
      <c r="H330" s="18">
        <v>9.32</v>
      </c>
      <c r="I330" s="17" t="s">
        <v>56</v>
      </c>
      <c r="J330" s="17" t="s">
        <v>55</v>
      </c>
      <c r="K330" s="17"/>
      <c r="L330" s="17"/>
      <c r="M330" s="16" t="str">
        <f>HYPERLINK("http://slimages.macys.com/is/image/MCY/19254685 ")</f>
        <v xml:space="preserve">http://slimages.macys.com/is/image/MCY/19254685 </v>
      </c>
      <c r="N330" s="30"/>
    </row>
    <row r="331" spans="1:14" ht="60" x14ac:dyDescent="0.25">
      <c r="A331" s="19" t="s">
        <v>2590</v>
      </c>
      <c r="B331" s="17" t="s">
        <v>2589</v>
      </c>
      <c r="C331" s="20">
        <v>1</v>
      </c>
      <c r="D331" s="18">
        <v>49.5</v>
      </c>
      <c r="E331" s="20" t="s">
        <v>286</v>
      </c>
      <c r="F331" s="17" t="s">
        <v>91</v>
      </c>
      <c r="G331" s="19" t="s">
        <v>197</v>
      </c>
      <c r="H331" s="18">
        <v>9.32</v>
      </c>
      <c r="I331" s="17" t="s">
        <v>56</v>
      </c>
      <c r="J331" s="17" t="s">
        <v>55</v>
      </c>
      <c r="K331" s="17"/>
      <c r="L331" s="17"/>
      <c r="M331" s="16" t="str">
        <f>HYPERLINK("http://slimages.macys.com/is/image/MCY/16687507 ")</f>
        <v xml:space="preserve">http://slimages.macys.com/is/image/MCY/16687507 </v>
      </c>
      <c r="N331" s="30"/>
    </row>
    <row r="332" spans="1:14" ht="60" x14ac:dyDescent="0.25">
      <c r="A332" s="19" t="s">
        <v>1051</v>
      </c>
      <c r="B332" s="17" t="s">
        <v>1050</v>
      </c>
      <c r="C332" s="20">
        <v>1</v>
      </c>
      <c r="D332" s="18">
        <v>49.5</v>
      </c>
      <c r="E332" s="20" t="s">
        <v>286</v>
      </c>
      <c r="F332" s="17" t="s">
        <v>91</v>
      </c>
      <c r="G332" s="19" t="s">
        <v>69</v>
      </c>
      <c r="H332" s="18">
        <v>9.32</v>
      </c>
      <c r="I332" s="17" t="s">
        <v>56</v>
      </c>
      <c r="J332" s="17" t="s">
        <v>55</v>
      </c>
      <c r="K332" s="17"/>
      <c r="L332" s="17"/>
      <c r="M332" s="16" t="str">
        <f>HYPERLINK("http://slimages.macys.com/is/image/MCY/16687507 ")</f>
        <v xml:space="preserve">http://slimages.macys.com/is/image/MCY/16687507 </v>
      </c>
      <c r="N332" s="30"/>
    </row>
    <row r="333" spans="1:14" ht="60" x14ac:dyDescent="0.25">
      <c r="A333" s="19" t="s">
        <v>6376</v>
      </c>
      <c r="B333" s="17" t="s">
        <v>6375</v>
      </c>
      <c r="C333" s="20">
        <v>1</v>
      </c>
      <c r="D333" s="18">
        <v>36.75</v>
      </c>
      <c r="E333" s="20" t="s">
        <v>6374</v>
      </c>
      <c r="F333" s="17" t="s">
        <v>23</v>
      </c>
      <c r="G333" s="19"/>
      <c r="H333" s="18">
        <v>9.2466666666666679</v>
      </c>
      <c r="I333" s="17" t="s">
        <v>33</v>
      </c>
      <c r="J333" s="17" t="s">
        <v>32</v>
      </c>
      <c r="K333" s="17"/>
      <c r="L333" s="17"/>
      <c r="M333" s="16" t="str">
        <f>HYPERLINK("http://slimages.macys.com/is/image/MCY/19723079 ")</f>
        <v xml:space="preserve">http://slimages.macys.com/is/image/MCY/19723079 </v>
      </c>
      <c r="N333" s="30"/>
    </row>
    <row r="334" spans="1:14" ht="60" x14ac:dyDescent="0.25">
      <c r="A334" s="19" t="s">
        <v>6373</v>
      </c>
      <c r="B334" s="17" t="s">
        <v>6372</v>
      </c>
      <c r="C334" s="20">
        <v>1</v>
      </c>
      <c r="D334" s="18">
        <v>36.75</v>
      </c>
      <c r="E334" s="20" t="s">
        <v>6371</v>
      </c>
      <c r="F334" s="17" t="s">
        <v>263</v>
      </c>
      <c r="G334" s="19"/>
      <c r="H334" s="18">
        <v>9.2466666666666679</v>
      </c>
      <c r="I334" s="17" t="s">
        <v>33</v>
      </c>
      <c r="J334" s="17" t="s">
        <v>32</v>
      </c>
      <c r="K334" s="17"/>
      <c r="L334" s="17"/>
      <c r="M334" s="16" t="str">
        <f>HYPERLINK("http://slimages.macys.com/is/image/MCY/19586193 ")</f>
        <v xml:space="preserve">http://slimages.macys.com/is/image/MCY/19586193 </v>
      </c>
      <c r="N334" s="30"/>
    </row>
    <row r="335" spans="1:14" ht="60" x14ac:dyDescent="0.25">
      <c r="A335" s="19" t="s">
        <v>6370</v>
      </c>
      <c r="B335" s="17" t="s">
        <v>6369</v>
      </c>
      <c r="C335" s="20">
        <v>1</v>
      </c>
      <c r="D335" s="18">
        <v>49</v>
      </c>
      <c r="E335" s="20">
        <v>2360614</v>
      </c>
      <c r="F335" s="17" t="s">
        <v>70</v>
      </c>
      <c r="G335" s="19" t="s">
        <v>62</v>
      </c>
      <c r="H335" s="18">
        <v>9.1666666666666679</v>
      </c>
      <c r="I335" s="17" t="s">
        <v>80</v>
      </c>
      <c r="J335" s="17" t="s">
        <v>293</v>
      </c>
      <c r="K335" s="17"/>
      <c r="L335" s="17"/>
      <c r="M335" s="16" t="str">
        <f>HYPERLINK("http://slimages.macys.com/is/image/MCY/18332116 ")</f>
        <v xml:space="preserve">http://slimages.macys.com/is/image/MCY/18332116 </v>
      </c>
      <c r="N335" s="30"/>
    </row>
    <row r="336" spans="1:14" ht="60" x14ac:dyDescent="0.25">
      <c r="A336" s="19" t="s">
        <v>6368</v>
      </c>
      <c r="B336" s="17" t="s">
        <v>6367</v>
      </c>
      <c r="C336" s="20">
        <v>1</v>
      </c>
      <c r="D336" s="18">
        <v>49.5</v>
      </c>
      <c r="E336" s="20" t="s">
        <v>2576</v>
      </c>
      <c r="F336" s="17" t="s">
        <v>85</v>
      </c>
      <c r="G336" s="19" t="s">
        <v>351</v>
      </c>
      <c r="H336" s="18">
        <v>9.0733333333333341</v>
      </c>
      <c r="I336" s="17" t="s">
        <v>267</v>
      </c>
      <c r="J336" s="17" t="s">
        <v>32</v>
      </c>
      <c r="K336" s="17"/>
      <c r="L336" s="17"/>
      <c r="M336" s="16" t="str">
        <f>HYPERLINK("http://slimages.macys.com/is/image/MCY/19267788 ")</f>
        <v xml:space="preserve">http://slimages.macys.com/is/image/MCY/19267788 </v>
      </c>
      <c r="N336" s="30"/>
    </row>
    <row r="337" spans="1:14" ht="60" x14ac:dyDescent="0.25">
      <c r="A337" s="19" t="s">
        <v>6366</v>
      </c>
      <c r="B337" s="17" t="s">
        <v>6365</v>
      </c>
      <c r="C337" s="20">
        <v>1</v>
      </c>
      <c r="D337" s="18">
        <v>48</v>
      </c>
      <c r="E337" s="20" t="s">
        <v>264</v>
      </c>
      <c r="F337" s="17" t="s">
        <v>51</v>
      </c>
      <c r="G337" s="19" t="s">
        <v>69</v>
      </c>
      <c r="H337" s="18">
        <v>8.9600000000000009</v>
      </c>
      <c r="I337" s="17" t="s">
        <v>80</v>
      </c>
      <c r="J337" s="17" t="s">
        <v>183</v>
      </c>
      <c r="K337" s="17"/>
      <c r="L337" s="17"/>
      <c r="M337" s="16" t="str">
        <f>HYPERLINK("http://slimages.macys.com/is/image/MCY/18940894 ")</f>
        <v xml:space="preserve">http://slimages.macys.com/is/image/MCY/18940894 </v>
      </c>
      <c r="N337" s="30"/>
    </row>
    <row r="338" spans="1:14" ht="60" x14ac:dyDescent="0.25">
      <c r="A338" s="19" t="s">
        <v>6364</v>
      </c>
      <c r="B338" s="17" t="s">
        <v>6363</v>
      </c>
      <c r="C338" s="20">
        <v>1</v>
      </c>
      <c r="D338" s="18">
        <v>48</v>
      </c>
      <c r="E338" s="20" t="s">
        <v>264</v>
      </c>
      <c r="F338" s="17" t="s">
        <v>51</v>
      </c>
      <c r="G338" s="19" t="s">
        <v>62</v>
      </c>
      <c r="H338" s="18">
        <v>8.9600000000000009</v>
      </c>
      <c r="I338" s="17" t="s">
        <v>80</v>
      </c>
      <c r="J338" s="17" t="s">
        <v>183</v>
      </c>
      <c r="K338" s="17"/>
      <c r="L338" s="17"/>
      <c r="M338" s="16" t="str">
        <f>HYPERLINK("http://slimages.macys.com/is/image/MCY/18940894 ")</f>
        <v xml:space="preserve">http://slimages.macys.com/is/image/MCY/18940894 </v>
      </c>
      <c r="N338" s="30"/>
    </row>
    <row r="339" spans="1:14" ht="60" x14ac:dyDescent="0.25">
      <c r="A339" s="19" t="s">
        <v>6362</v>
      </c>
      <c r="B339" s="17" t="s">
        <v>6361</v>
      </c>
      <c r="C339" s="20">
        <v>1</v>
      </c>
      <c r="D339" s="18">
        <v>34.299999999999997</v>
      </c>
      <c r="E339" s="20" t="s">
        <v>6360</v>
      </c>
      <c r="F339" s="17" t="s">
        <v>91</v>
      </c>
      <c r="G339" s="19" t="s">
        <v>197</v>
      </c>
      <c r="H339" s="18">
        <v>8.9466666666666672</v>
      </c>
      <c r="I339" s="17" t="s">
        <v>42</v>
      </c>
      <c r="J339" s="17" t="s">
        <v>41</v>
      </c>
      <c r="K339" s="17"/>
      <c r="L339" s="17"/>
      <c r="M339" s="16" t="str">
        <f>HYPERLINK("http://slimages.macys.com/is/image/MCY/19111513 ")</f>
        <v xml:space="preserve">http://slimages.macys.com/is/image/MCY/19111513 </v>
      </c>
      <c r="N339" s="30"/>
    </row>
    <row r="340" spans="1:14" ht="60" x14ac:dyDescent="0.25">
      <c r="A340" s="19" t="s">
        <v>6359</v>
      </c>
      <c r="B340" s="17" t="s">
        <v>6358</v>
      </c>
      <c r="C340" s="20">
        <v>1</v>
      </c>
      <c r="D340" s="18">
        <v>34.299999999999997</v>
      </c>
      <c r="E340" s="20" t="s">
        <v>2564</v>
      </c>
      <c r="F340" s="17" t="s">
        <v>28</v>
      </c>
      <c r="G340" s="19" t="s">
        <v>69</v>
      </c>
      <c r="H340" s="18">
        <v>8.9466666666666672</v>
      </c>
      <c r="I340" s="17" t="s">
        <v>42</v>
      </c>
      <c r="J340" s="17" t="s">
        <v>41</v>
      </c>
      <c r="K340" s="17"/>
      <c r="L340" s="17"/>
      <c r="M340" s="16" t="str">
        <f>HYPERLINK("http://slimages.macys.com/is/image/MCY/18545282 ")</f>
        <v xml:space="preserve">http://slimages.macys.com/is/image/MCY/18545282 </v>
      </c>
      <c r="N340" s="30"/>
    </row>
    <row r="341" spans="1:14" ht="60" x14ac:dyDescent="0.25">
      <c r="A341" s="19" t="s">
        <v>2568</v>
      </c>
      <c r="B341" s="17" t="s">
        <v>2567</v>
      </c>
      <c r="C341" s="20">
        <v>1</v>
      </c>
      <c r="D341" s="18">
        <v>34.299999999999997</v>
      </c>
      <c r="E341" s="20" t="s">
        <v>260</v>
      </c>
      <c r="F341" s="17" t="s">
        <v>91</v>
      </c>
      <c r="G341" s="19" t="s">
        <v>197</v>
      </c>
      <c r="H341" s="18">
        <v>8.9466666666666672</v>
      </c>
      <c r="I341" s="17" t="s">
        <v>42</v>
      </c>
      <c r="J341" s="17" t="s">
        <v>41</v>
      </c>
      <c r="K341" s="17"/>
      <c r="L341" s="17"/>
      <c r="M341" s="16" t="str">
        <f>HYPERLINK("http://slimages.macys.com/is/image/MCY/18549055 ")</f>
        <v xml:space="preserve">http://slimages.macys.com/is/image/MCY/18549055 </v>
      </c>
      <c r="N341" s="30"/>
    </row>
    <row r="342" spans="1:14" ht="60" x14ac:dyDescent="0.25">
      <c r="A342" s="19" t="s">
        <v>6357</v>
      </c>
      <c r="B342" s="17" t="s">
        <v>6356</v>
      </c>
      <c r="C342" s="20">
        <v>6</v>
      </c>
      <c r="D342" s="18">
        <v>34.299999999999997</v>
      </c>
      <c r="E342" s="20" t="s">
        <v>6355</v>
      </c>
      <c r="F342" s="17" t="s">
        <v>149</v>
      </c>
      <c r="G342" s="19" t="s">
        <v>69</v>
      </c>
      <c r="H342" s="18">
        <v>8.9466666666666672</v>
      </c>
      <c r="I342" s="17" t="s">
        <v>42</v>
      </c>
      <c r="J342" s="17" t="s">
        <v>41</v>
      </c>
      <c r="K342" s="17"/>
      <c r="L342" s="17"/>
      <c r="M342" s="16" t="str">
        <f>HYPERLINK("http://slimages.macys.com/is/image/MCY/18916978 ")</f>
        <v xml:space="preserve">http://slimages.macys.com/is/image/MCY/18916978 </v>
      </c>
      <c r="N342" s="30"/>
    </row>
    <row r="343" spans="1:14" ht="60" x14ac:dyDescent="0.25">
      <c r="A343" s="19" t="s">
        <v>6354</v>
      </c>
      <c r="B343" s="17" t="s">
        <v>6353</v>
      </c>
      <c r="C343" s="20">
        <v>1</v>
      </c>
      <c r="D343" s="18">
        <v>38</v>
      </c>
      <c r="E343" s="20" t="s">
        <v>3353</v>
      </c>
      <c r="F343" s="17" t="s">
        <v>164</v>
      </c>
      <c r="G343" s="19" t="s">
        <v>197</v>
      </c>
      <c r="H343" s="18">
        <v>8.8666666666666671</v>
      </c>
      <c r="I343" s="17" t="s">
        <v>80</v>
      </c>
      <c r="J343" s="17" t="s">
        <v>79</v>
      </c>
      <c r="K343" s="17"/>
      <c r="L343" s="17"/>
      <c r="M343" s="16" t="str">
        <f>HYPERLINK("http://slimages.macys.com/is/image/MCY/18593618 ")</f>
        <v xml:space="preserve">http://slimages.macys.com/is/image/MCY/18593618 </v>
      </c>
      <c r="N343" s="30"/>
    </row>
    <row r="344" spans="1:14" ht="60" x14ac:dyDescent="0.25">
      <c r="A344" s="19" t="s">
        <v>5570</v>
      </c>
      <c r="B344" s="17" t="s">
        <v>5569</v>
      </c>
      <c r="C344" s="20">
        <v>8</v>
      </c>
      <c r="D344" s="18">
        <v>35</v>
      </c>
      <c r="E344" s="20" t="s">
        <v>5568</v>
      </c>
      <c r="F344" s="17" t="s">
        <v>764</v>
      </c>
      <c r="G344" s="19" t="s">
        <v>22</v>
      </c>
      <c r="H344" s="18">
        <v>8.6866666666666674</v>
      </c>
      <c r="I344" s="17" t="s">
        <v>16</v>
      </c>
      <c r="J344" s="17" t="s">
        <v>15</v>
      </c>
      <c r="K344" s="17"/>
      <c r="L344" s="17"/>
      <c r="M344" s="16" t="str">
        <f>HYPERLINK("http://slimages.macys.com/is/image/MCY/19060615 ")</f>
        <v xml:space="preserve">http://slimages.macys.com/is/image/MCY/19060615 </v>
      </c>
      <c r="N344" s="30"/>
    </row>
    <row r="345" spans="1:14" ht="60" x14ac:dyDescent="0.25">
      <c r="A345" s="19" t="s">
        <v>5564</v>
      </c>
      <c r="B345" s="17" t="s">
        <v>5563</v>
      </c>
      <c r="C345" s="20">
        <v>1</v>
      </c>
      <c r="D345" s="18">
        <v>39</v>
      </c>
      <c r="E345" s="20" t="s">
        <v>5562</v>
      </c>
      <c r="F345" s="17" t="s">
        <v>282</v>
      </c>
      <c r="G345" s="19" t="s">
        <v>22</v>
      </c>
      <c r="H345" s="18">
        <v>8.6066666666666674</v>
      </c>
      <c r="I345" s="17" t="s">
        <v>49</v>
      </c>
      <c r="J345" s="17" t="s">
        <v>48</v>
      </c>
      <c r="K345" s="17"/>
      <c r="L345" s="17"/>
      <c r="M345" s="16" t="str">
        <f>HYPERLINK("http://slimages.macys.com/is/image/MCY/18774728 ")</f>
        <v xml:space="preserve">http://slimages.macys.com/is/image/MCY/18774728 </v>
      </c>
      <c r="N345" s="30"/>
    </row>
    <row r="346" spans="1:14" ht="60" x14ac:dyDescent="0.25">
      <c r="A346" s="19" t="s">
        <v>6352</v>
      </c>
      <c r="B346" s="17" t="s">
        <v>6351</v>
      </c>
      <c r="C346" s="20">
        <v>1</v>
      </c>
      <c r="D346" s="18">
        <v>46</v>
      </c>
      <c r="E346" s="20" t="s">
        <v>6350</v>
      </c>
      <c r="F346" s="17" t="s">
        <v>58</v>
      </c>
      <c r="G346" s="19" t="s">
        <v>27</v>
      </c>
      <c r="H346" s="18">
        <v>8.5866666666666678</v>
      </c>
      <c r="I346" s="17" t="s">
        <v>80</v>
      </c>
      <c r="J346" s="17" t="s">
        <v>183</v>
      </c>
      <c r="K346" s="17"/>
      <c r="L346" s="17"/>
      <c r="M346" s="16" t="str">
        <f>HYPERLINK("http://slimages.macys.com/is/image/MCY/19305481 ")</f>
        <v xml:space="preserve">http://slimages.macys.com/is/image/MCY/19305481 </v>
      </c>
      <c r="N346" s="30"/>
    </row>
    <row r="347" spans="1:14" ht="60" x14ac:dyDescent="0.25">
      <c r="A347" s="19" t="s">
        <v>5553</v>
      </c>
      <c r="B347" s="17" t="s">
        <v>5552</v>
      </c>
      <c r="C347" s="20">
        <v>1</v>
      </c>
      <c r="D347" s="18">
        <v>46</v>
      </c>
      <c r="E347" s="20" t="s">
        <v>5551</v>
      </c>
      <c r="F347" s="17" t="s">
        <v>345</v>
      </c>
      <c r="G347" s="19" t="s">
        <v>57</v>
      </c>
      <c r="H347" s="18">
        <v>8.5866666666666678</v>
      </c>
      <c r="I347" s="17" t="s">
        <v>80</v>
      </c>
      <c r="J347" s="17" t="s">
        <v>183</v>
      </c>
      <c r="K347" s="17"/>
      <c r="L347" s="17"/>
      <c r="M347" s="16" t="str">
        <f>HYPERLINK("http://slimages.macys.com/is/image/MCY/19305448 ")</f>
        <v xml:space="preserve">http://slimages.macys.com/is/image/MCY/19305448 </v>
      </c>
      <c r="N347" s="30"/>
    </row>
    <row r="348" spans="1:14" ht="60" x14ac:dyDescent="0.25">
      <c r="A348" s="19" t="s">
        <v>3345</v>
      </c>
      <c r="B348" s="17" t="s">
        <v>3344</v>
      </c>
      <c r="C348" s="20">
        <v>1</v>
      </c>
      <c r="D348" s="18">
        <v>44.5</v>
      </c>
      <c r="E348" s="20" t="s">
        <v>3339</v>
      </c>
      <c r="F348" s="17" t="s">
        <v>23</v>
      </c>
      <c r="G348" s="19" t="s">
        <v>271</v>
      </c>
      <c r="H348" s="18">
        <v>8.379999999999999</v>
      </c>
      <c r="I348" s="17" t="s">
        <v>1891</v>
      </c>
      <c r="J348" s="17" t="s">
        <v>67</v>
      </c>
      <c r="K348" s="17"/>
      <c r="L348" s="17"/>
      <c r="M348" s="16" t="str">
        <f>HYPERLINK("http://slimages.macys.com/is/image/MCY/16862113 ")</f>
        <v xml:space="preserve">http://slimages.macys.com/is/image/MCY/16862113 </v>
      </c>
      <c r="N348" s="30"/>
    </row>
    <row r="349" spans="1:14" ht="60" x14ac:dyDescent="0.25">
      <c r="A349" s="19" t="s">
        <v>6349</v>
      </c>
      <c r="B349" s="17" t="s">
        <v>6348</v>
      </c>
      <c r="C349" s="20">
        <v>1</v>
      </c>
      <c r="D349" s="18">
        <v>44.5</v>
      </c>
      <c r="E349" s="20" t="s">
        <v>6347</v>
      </c>
      <c r="F349" s="17" t="s">
        <v>91</v>
      </c>
      <c r="G349" s="19" t="s">
        <v>351</v>
      </c>
      <c r="H349" s="18">
        <v>8.379999999999999</v>
      </c>
      <c r="I349" s="17" t="s">
        <v>1891</v>
      </c>
      <c r="J349" s="17" t="s">
        <v>67</v>
      </c>
      <c r="K349" s="17"/>
      <c r="L349" s="17"/>
      <c r="M349" s="16" t="str">
        <f>HYPERLINK("http://slimages.macys.com/is/image/MCY/18981113 ")</f>
        <v xml:space="preserve">http://slimages.macys.com/is/image/MCY/18981113 </v>
      </c>
      <c r="N349" s="30"/>
    </row>
    <row r="350" spans="1:14" ht="60" x14ac:dyDescent="0.25">
      <c r="A350" s="19" t="s">
        <v>6346</v>
      </c>
      <c r="B350" s="17" t="s">
        <v>6345</v>
      </c>
      <c r="C350" s="20">
        <v>1</v>
      </c>
      <c r="D350" s="18">
        <v>34.99</v>
      </c>
      <c r="E350" s="20" t="s">
        <v>248</v>
      </c>
      <c r="F350" s="17" t="s">
        <v>23</v>
      </c>
      <c r="G350" s="19" t="s">
        <v>62</v>
      </c>
      <c r="H350" s="18">
        <v>8.3333333333333339</v>
      </c>
      <c r="I350" s="17" t="s">
        <v>42</v>
      </c>
      <c r="J350" s="17" t="s">
        <v>41</v>
      </c>
      <c r="K350" s="17"/>
      <c r="L350" s="17"/>
      <c r="M350" s="16" t="str">
        <f>HYPERLINK("http://slimages.macys.com/is/image/MCY/16374339 ")</f>
        <v xml:space="preserve">http://slimages.macys.com/is/image/MCY/16374339 </v>
      </c>
      <c r="N350" s="30"/>
    </row>
    <row r="351" spans="1:14" ht="60" x14ac:dyDescent="0.25">
      <c r="A351" s="19" t="s">
        <v>6344</v>
      </c>
      <c r="B351" s="17" t="s">
        <v>6343</v>
      </c>
      <c r="C351" s="20">
        <v>1</v>
      </c>
      <c r="D351" s="18">
        <v>44.5</v>
      </c>
      <c r="E351" s="20">
        <v>30127869</v>
      </c>
      <c r="F351" s="17" t="s">
        <v>28</v>
      </c>
      <c r="G351" s="19" t="s">
        <v>57</v>
      </c>
      <c r="H351" s="18">
        <v>8.3066666666666666</v>
      </c>
      <c r="I351" s="17" t="s">
        <v>80</v>
      </c>
      <c r="J351" s="17" t="s">
        <v>513</v>
      </c>
      <c r="K351" s="17"/>
      <c r="L351" s="17"/>
      <c r="M351" s="16" t="str">
        <f>HYPERLINK("http://slimages.macys.com/is/image/MCY/18648593 ")</f>
        <v xml:space="preserve">http://slimages.macys.com/is/image/MCY/18648593 </v>
      </c>
      <c r="N351" s="30"/>
    </row>
    <row r="352" spans="1:14" ht="60" x14ac:dyDescent="0.25">
      <c r="A352" s="19" t="s">
        <v>245</v>
      </c>
      <c r="B352" s="17" t="s">
        <v>244</v>
      </c>
      <c r="C352" s="20">
        <v>1</v>
      </c>
      <c r="D352" s="18">
        <v>29.99</v>
      </c>
      <c r="E352" s="20" t="s">
        <v>243</v>
      </c>
      <c r="F352" s="17" t="s">
        <v>91</v>
      </c>
      <c r="G352" s="19" t="s">
        <v>62</v>
      </c>
      <c r="H352" s="18">
        <v>8.2200000000000006</v>
      </c>
      <c r="I352" s="17" t="s">
        <v>42</v>
      </c>
      <c r="J352" s="17" t="s">
        <v>41</v>
      </c>
      <c r="K352" s="17"/>
      <c r="L352" s="17"/>
      <c r="M352" s="16" t="str">
        <f>HYPERLINK("http://slimages.macys.com/is/image/MCY/19268874 ")</f>
        <v xml:space="preserve">http://slimages.macys.com/is/image/MCY/19268874 </v>
      </c>
      <c r="N352" s="30"/>
    </row>
    <row r="353" spans="1:14" ht="60" x14ac:dyDescent="0.25">
      <c r="A353" s="19" t="s">
        <v>247</v>
      </c>
      <c r="B353" s="17" t="s">
        <v>246</v>
      </c>
      <c r="C353" s="20">
        <v>1</v>
      </c>
      <c r="D353" s="18">
        <v>29.99</v>
      </c>
      <c r="E353" s="20" t="s">
        <v>243</v>
      </c>
      <c r="F353" s="17" t="s">
        <v>91</v>
      </c>
      <c r="G353" s="19" t="s">
        <v>197</v>
      </c>
      <c r="H353" s="18">
        <v>8.2200000000000006</v>
      </c>
      <c r="I353" s="17" t="s">
        <v>42</v>
      </c>
      <c r="J353" s="17" t="s">
        <v>41</v>
      </c>
      <c r="K353" s="17"/>
      <c r="L353" s="17"/>
      <c r="M353" s="16" t="str">
        <f>HYPERLINK("http://slimages.macys.com/is/image/MCY/19268874 ")</f>
        <v xml:space="preserve">http://slimages.macys.com/is/image/MCY/19268874 </v>
      </c>
      <c r="N353" s="30"/>
    </row>
    <row r="354" spans="1:14" ht="60" x14ac:dyDescent="0.25">
      <c r="A354" s="19" t="s">
        <v>2558</v>
      </c>
      <c r="B354" s="17" t="s">
        <v>2557</v>
      </c>
      <c r="C354" s="20">
        <v>1</v>
      </c>
      <c r="D354" s="18">
        <v>31.5</v>
      </c>
      <c r="E354" s="20" t="s">
        <v>2556</v>
      </c>
      <c r="F354" s="17" t="s">
        <v>23</v>
      </c>
      <c r="G354" s="19" t="s">
        <v>43</v>
      </c>
      <c r="H354" s="18">
        <v>8.2200000000000006</v>
      </c>
      <c r="I354" s="17" t="s">
        <v>42</v>
      </c>
      <c r="J354" s="17" t="s">
        <v>41</v>
      </c>
      <c r="K354" s="17"/>
      <c r="L354" s="17"/>
      <c r="M354" s="16" t="str">
        <f>HYPERLINK("http://slimages.macys.com/is/image/MCY/18757242 ")</f>
        <v xml:space="preserve">http://slimages.macys.com/is/image/MCY/18757242 </v>
      </c>
      <c r="N354" s="30"/>
    </row>
    <row r="355" spans="1:14" ht="60" x14ac:dyDescent="0.25">
      <c r="A355" s="19" t="s">
        <v>6342</v>
      </c>
      <c r="B355" s="17" t="s">
        <v>6341</v>
      </c>
      <c r="C355" s="20">
        <v>1</v>
      </c>
      <c r="D355" s="18">
        <v>44</v>
      </c>
      <c r="E355" s="20" t="s">
        <v>6340</v>
      </c>
      <c r="F355" s="17" t="s">
        <v>51</v>
      </c>
      <c r="G355" s="19" t="s">
        <v>74</v>
      </c>
      <c r="H355" s="18">
        <v>8.2133333333333329</v>
      </c>
      <c r="I355" s="17" t="s">
        <v>80</v>
      </c>
      <c r="J355" s="17" t="s">
        <v>183</v>
      </c>
      <c r="K355" s="17"/>
      <c r="L355" s="17"/>
      <c r="M355" s="16" t="str">
        <f>HYPERLINK("http://slimages.macys.com/is/image/MCY/19736146 ")</f>
        <v xml:space="preserve">http://slimages.macys.com/is/image/MCY/19736146 </v>
      </c>
      <c r="N355" s="30"/>
    </row>
    <row r="356" spans="1:14" ht="60" x14ac:dyDescent="0.25">
      <c r="A356" s="19" t="s">
        <v>6339</v>
      </c>
      <c r="B356" s="17" t="s">
        <v>6338</v>
      </c>
      <c r="C356" s="20">
        <v>1</v>
      </c>
      <c r="D356" s="18">
        <v>59.5</v>
      </c>
      <c r="E356" s="20" t="s">
        <v>6337</v>
      </c>
      <c r="F356" s="17" t="s">
        <v>23</v>
      </c>
      <c r="G356" s="19" t="s">
        <v>898</v>
      </c>
      <c r="H356" s="18">
        <v>8</v>
      </c>
      <c r="I356" s="17" t="s">
        <v>68</v>
      </c>
      <c r="J356" s="17" t="s">
        <v>67</v>
      </c>
      <c r="K356" s="17"/>
      <c r="L356" s="17"/>
      <c r="M356" s="16" t="str">
        <f>HYPERLINK("http://slimages.macys.com/is/image/MCY/18855049 ")</f>
        <v xml:space="preserve">http://slimages.macys.com/is/image/MCY/18855049 </v>
      </c>
      <c r="N356" s="30"/>
    </row>
    <row r="357" spans="1:14" ht="84" x14ac:dyDescent="0.25">
      <c r="A357" s="19" t="s">
        <v>6336</v>
      </c>
      <c r="B357" s="17" t="s">
        <v>6335</v>
      </c>
      <c r="C357" s="20">
        <v>1</v>
      </c>
      <c r="D357" s="18">
        <v>30</v>
      </c>
      <c r="E357" s="20" t="s">
        <v>1029</v>
      </c>
      <c r="F357" s="17" t="s">
        <v>51</v>
      </c>
      <c r="G357" s="19" t="s">
        <v>62</v>
      </c>
      <c r="H357" s="18">
        <v>7.8666666666666663</v>
      </c>
      <c r="I357" s="17" t="s">
        <v>16</v>
      </c>
      <c r="J357" s="17" t="s">
        <v>15</v>
      </c>
      <c r="K357" s="17" t="s">
        <v>389</v>
      </c>
      <c r="L357" s="17" t="s">
        <v>1028</v>
      </c>
      <c r="M357" s="16" t="str">
        <f>HYPERLINK("http://slimages.macys.com/is/image/MCY/9343963 ")</f>
        <v xml:space="preserve">http://slimages.macys.com/is/image/MCY/9343963 </v>
      </c>
      <c r="N357" s="30"/>
    </row>
    <row r="358" spans="1:14" ht="60" x14ac:dyDescent="0.25">
      <c r="A358" s="19" t="s">
        <v>6334</v>
      </c>
      <c r="B358" s="17" t="s">
        <v>6333</v>
      </c>
      <c r="C358" s="20">
        <v>1</v>
      </c>
      <c r="D358" s="18">
        <v>49</v>
      </c>
      <c r="E358" s="20">
        <v>2331301</v>
      </c>
      <c r="F358" s="17" t="s">
        <v>91</v>
      </c>
      <c r="G358" s="19" t="s">
        <v>50</v>
      </c>
      <c r="H358" s="18">
        <v>7.84</v>
      </c>
      <c r="I358" s="17" t="s">
        <v>80</v>
      </c>
      <c r="J358" s="17" t="s">
        <v>293</v>
      </c>
      <c r="K358" s="17"/>
      <c r="L358" s="17"/>
      <c r="M358" s="16" t="str">
        <f>HYPERLINK("http://slimages.macys.com/is/image/MCY/19223516 ")</f>
        <v xml:space="preserve">http://slimages.macys.com/is/image/MCY/19223516 </v>
      </c>
      <c r="N358" s="30"/>
    </row>
    <row r="359" spans="1:14" ht="60" x14ac:dyDescent="0.25">
      <c r="A359" s="19" t="s">
        <v>6332</v>
      </c>
      <c r="B359" s="17" t="s">
        <v>6331</v>
      </c>
      <c r="C359" s="20">
        <v>1</v>
      </c>
      <c r="D359" s="18">
        <v>25</v>
      </c>
      <c r="E359" s="20" t="s">
        <v>6330</v>
      </c>
      <c r="F359" s="17" t="s">
        <v>272</v>
      </c>
      <c r="G359" s="19" t="s">
        <v>27</v>
      </c>
      <c r="H359" s="18">
        <v>7.6333333333333337</v>
      </c>
      <c r="I359" s="17" t="s">
        <v>16</v>
      </c>
      <c r="J359" s="17" t="s">
        <v>15</v>
      </c>
      <c r="K359" s="17"/>
      <c r="L359" s="17"/>
      <c r="M359" s="16" t="str">
        <f>HYPERLINK("http://slimages.macys.com/is/image/MCY/18863236 ")</f>
        <v xml:space="preserve">http://slimages.macys.com/is/image/MCY/18863236 </v>
      </c>
      <c r="N359" s="30"/>
    </row>
    <row r="360" spans="1:14" ht="60" x14ac:dyDescent="0.25">
      <c r="A360" s="19" t="s">
        <v>5533</v>
      </c>
      <c r="B360" s="17" t="s">
        <v>5532</v>
      </c>
      <c r="C360" s="20">
        <v>1</v>
      </c>
      <c r="D360" s="18">
        <v>30</v>
      </c>
      <c r="E360" s="20" t="s">
        <v>226</v>
      </c>
      <c r="F360" s="17" t="s">
        <v>23</v>
      </c>
      <c r="G360" s="19" t="s">
        <v>27</v>
      </c>
      <c r="H360" s="18">
        <v>7.5533333333333337</v>
      </c>
      <c r="I360" s="17" t="s">
        <v>16</v>
      </c>
      <c r="J360" s="17" t="s">
        <v>15</v>
      </c>
      <c r="K360" s="17"/>
      <c r="L360" s="17"/>
      <c r="M360" s="16" t="str">
        <f>HYPERLINK("http://slimages.macys.com/is/image/MCY/19060580 ")</f>
        <v xml:space="preserve">http://slimages.macys.com/is/image/MCY/19060580 </v>
      </c>
      <c r="N360" s="30"/>
    </row>
    <row r="361" spans="1:14" ht="60" x14ac:dyDescent="0.25">
      <c r="A361" s="19" t="s">
        <v>6329</v>
      </c>
      <c r="B361" s="17" t="s">
        <v>6328</v>
      </c>
      <c r="C361" s="20">
        <v>1</v>
      </c>
      <c r="D361" s="18">
        <v>49</v>
      </c>
      <c r="E361" s="20">
        <v>2331301</v>
      </c>
      <c r="F361" s="17" t="s">
        <v>2284</v>
      </c>
      <c r="G361" s="19" t="s">
        <v>101</v>
      </c>
      <c r="H361" s="18">
        <v>7.5</v>
      </c>
      <c r="I361" s="17" t="s">
        <v>80</v>
      </c>
      <c r="J361" s="17" t="s">
        <v>293</v>
      </c>
      <c r="K361" s="17"/>
      <c r="L361" s="17"/>
      <c r="M361" s="16" t="str">
        <f>HYPERLINK("http://slimages.macys.com/is/image/MCY/19226269 ")</f>
        <v xml:space="preserve">http://slimages.macys.com/is/image/MCY/19226269 </v>
      </c>
      <c r="N361" s="30"/>
    </row>
    <row r="362" spans="1:14" ht="60" x14ac:dyDescent="0.25">
      <c r="A362" s="19" t="s">
        <v>4930</v>
      </c>
      <c r="B362" s="17" t="s">
        <v>4929</v>
      </c>
      <c r="C362" s="20">
        <v>1</v>
      </c>
      <c r="D362" s="18">
        <v>39.5</v>
      </c>
      <c r="E362" s="20" t="s">
        <v>1005</v>
      </c>
      <c r="F362" s="17" t="s">
        <v>58</v>
      </c>
      <c r="G362" s="19" t="s">
        <v>197</v>
      </c>
      <c r="H362" s="18">
        <v>7.4400000000000013</v>
      </c>
      <c r="I362" s="17" t="s">
        <v>56</v>
      </c>
      <c r="J362" s="17" t="s">
        <v>55</v>
      </c>
      <c r="K362" s="17"/>
      <c r="L362" s="17"/>
      <c r="M362" s="16" t="str">
        <f>HYPERLINK("http://slimages.macys.com/is/image/MCY/19179628 ")</f>
        <v xml:space="preserve">http://slimages.macys.com/is/image/MCY/19179628 </v>
      </c>
      <c r="N362" s="30"/>
    </row>
    <row r="363" spans="1:14" ht="60" x14ac:dyDescent="0.25">
      <c r="A363" s="19" t="s">
        <v>1010</v>
      </c>
      <c r="B363" s="17" t="s">
        <v>1009</v>
      </c>
      <c r="C363" s="20">
        <v>1</v>
      </c>
      <c r="D363" s="18">
        <v>39.5</v>
      </c>
      <c r="E363" s="20" t="s">
        <v>1008</v>
      </c>
      <c r="F363" s="17" t="s">
        <v>91</v>
      </c>
      <c r="G363" s="19" t="s">
        <v>69</v>
      </c>
      <c r="H363" s="18">
        <v>7.4400000000000013</v>
      </c>
      <c r="I363" s="17" t="s">
        <v>56</v>
      </c>
      <c r="J363" s="17" t="s">
        <v>55</v>
      </c>
      <c r="K363" s="17"/>
      <c r="L363" s="17"/>
      <c r="M363" s="16" t="str">
        <f>HYPERLINK("http://slimages.macys.com/is/image/MCY/19021202 ")</f>
        <v xml:space="preserve">http://slimages.macys.com/is/image/MCY/19021202 </v>
      </c>
      <c r="N363" s="30"/>
    </row>
    <row r="364" spans="1:14" ht="60" x14ac:dyDescent="0.25">
      <c r="A364" s="19" t="s">
        <v>6327</v>
      </c>
      <c r="B364" s="17" t="s">
        <v>6326</v>
      </c>
      <c r="C364" s="20">
        <v>2</v>
      </c>
      <c r="D364" s="18">
        <v>39.5</v>
      </c>
      <c r="E364" s="20" t="s">
        <v>1008</v>
      </c>
      <c r="F364" s="17" t="s">
        <v>91</v>
      </c>
      <c r="G364" s="19" t="s">
        <v>197</v>
      </c>
      <c r="H364" s="18">
        <v>7.4400000000000013</v>
      </c>
      <c r="I364" s="17" t="s">
        <v>56</v>
      </c>
      <c r="J364" s="17" t="s">
        <v>55</v>
      </c>
      <c r="K364" s="17"/>
      <c r="L364" s="17"/>
      <c r="M364" s="16" t="str">
        <f>HYPERLINK("http://slimages.macys.com/is/image/MCY/19021202 ")</f>
        <v xml:space="preserve">http://slimages.macys.com/is/image/MCY/19021202 </v>
      </c>
      <c r="N364" s="30"/>
    </row>
    <row r="365" spans="1:14" ht="60" x14ac:dyDescent="0.25">
      <c r="A365" s="19" t="s">
        <v>992</v>
      </c>
      <c r="B365" s="17" t="s">
        <v>991</v>
      </c>
      <c r="C365" s="20">
        <v>3</v>
      </c>
      <c r="D365" s="18">
        <v>39.5</v>
      </c>
      <c r="E365" s="20" t="s">
        <v>213</v>
      </c>
      <c r="F365" s="17" t="s">
        <v>63</v>
      </c>
      <c r="G365" s="19" t="s">
        <v>62</v>
      </c>
      <c r="H365" s="18">
        <v>7.4400000000000013</v>
      </c>
      <c r="I365" s="17" t="s">
        <v>56</v>
      </c>
      <c r="J365" s="17" t="s">
        <v>55</v>
      </c>
      <c r="K365" s="17"/>
      <c r="L365" s="17"/>
      <c r="M365" s="16" t="str">
        <f>HYPERLINK("http://slimages.macys.com/is/image/MCY/19179536 ")</f>
        <v xml:space="preserve">http://slimages.macys.com/is/image/MCY/19179536 </v>
      </c>
      <c r="N365" s="30"/>
    </row>
    <row r="366" spans="1:14" ht="60" x14ac:dyDescent="0.25">
      <c r="A366" s="19" t="s">
        <v>6325</v>
      </c>
      <c r="B366" s="17" t="s">
        <v>6324</v>
      </c>
      <c r="C366" s="20">
        <v>1</v>
      </c>
      <c r="D366" s="18">
        <v>39.5</v>
      </c>
      <c r="E366" s="20" t="s">
        <v>6323</v>
      </c>
      <c r="F366" s="17" t="s">
        <v>58</v>
      </c>
      <c r="G366" s="19" t="s">
        <v>27</v>
      </c>
      <c r="H366" s="18">
        <v>7.4400000000000013</v>
      </c>
      <c r="I366" s="17" t="s">
        <v>68</v>
      </c>
      <c r="J366" s="17" t="s">
        <v>67</v>
      </c>
      <c r="K366" s="17"/>
      <c r="L366" s="17"/>
      <c r="M366" s="16" t="str">
        <f>HYPERLINK("http://slimages.macys.com/is/image/MCY/18864651 ")</f>
        <v xml:space="preserve">http://slimages.macys.com/is/image/MCY/18864651 </v>
      </c>
      <c r="N366" s="30"/>
    </row>
    <row r="367" spans="1:14" ht="60" x14ac:dyDescent="0.25">
      <c r="A367" s="19" t="s">
        <v>6322</v>
      </c>
      <c r="B367" s="17" t="s">
        <v>6321</v>
      </c>
      <c r="C367" s="20">
        <v>1</v>
      </c>
      <c r="D367" s="18">
        <v>39.5</v>
      </c>
      <c r="E367" s="20" t="s">
        <v>6318</v>
      </c>
      <c r="F367" s="17" t="s">
        <v>91</v>
      </c>
      <c r="G367" s="19" t="s">
        <v>69</v>
      </c>
      <c r="H367" s="18">
        <v>7.4400000000000013</v>
      </c>
      <c r="I367" s="17" t="s">
        <v>68</v>
      </c>
      <c r="J367" s="17" t="s">
        <v>67</v>
      </c>
      <c r="K367" s="17"/>
      <c r="L367" s="17"/>
      <c r="M367" s="16" t="str">
        <f>HYPERLINK("http://slimages.macys.com/is/image/MCY/18560494 ")</f>
        <v xml:space="preserve">http://slimages.macys.com/is/image/MCY/18560494 </v>
      </c>
      <c r="N367" s="30"/>
    </row>
    <row r="368" spans="1:14" ht="60" x14ac:dyDescent="0.25">
      <c r="A368" s="19" t="s">
        <v>6320</v>
      </c>
      <c r="B368" s="17" t="s">
        <v>6319</v>
      </c>
      <c r="C368" s="20">
        <v>1</v>
      </c>
      <c r="D368" s="18">
        <v>39.5</v>
      </c>
      <c r="E368" s="20" t="s">
        <v>6318</v>
      </c>
      <c r="F368" s="17" t="s">
        <v>91</v>
      </c>
      <c r="G368" s="19" t="s">
        <v>27</v>
      </c>
      <c r="H368" s="18">
        <v>7.4400000000000013</v>
      </c>
      <c r="I368" s="17" t="s">
        <v>68</v>
      </c>
      <c r="J368" s="17" t="s">
        <v>67</v>
      </c>
      <c r="K368" s="17"/>
      <c r="L368" s="17"/>
      <c r="M368" s="16" t="str">
        <f>HYPERLINK("http://slimages.macys.com/is/image/MCY/18560494 ")</f>
        <v xml:space="preserve">http://slimages.macys.com/is/image/MCY/18560494 </v>
      </c>
      <c r="N368" s="30"/>
    </row>
    <row r="369" spans="1:14" ht="60" x14ac:dyDescent="0.25">
      <c r="A369" s="19" t="s">
        <v>6317</v>
      </c>
      <c r="B369" s="17" t="s">
        <v>6316</v>
      </c>
      <c r="C369" s="20">
        <v>1</v>
      </c>
      <c r="D369" s="18">
        <v>39.5</v>
      </c>
      <c r="E369" s="20" t="s">
        <v>2545</v>
      </c>
      <c r="F369" s="17" t="s">
        <v>206</v>
      </c>
      <c r="G369" s="19" t="s">
        <v>197</v>
      </c>
      <c r="H369" s="18">
        <v>7.4400000000000013</v>
      </c>
      <c r="I369" s="17" t="s">
        <v>56</v>
      </c>
      <c r="J369" s="17" t="s">
        <v>55</v>
      </c>
      <c r="K369" s="17"/>
      <c r="L369" s="17"/>
      <c r="M369" s="16" t="str">
        <f>HYPERLINK("http://slimages.macys.com/is/image/MCY/19395911 ")</f>
        <v xml:space="preserve">http://slimages.macys.com/is/image/MCY/19395911 </v>
      </c>
      <c r="N369" s="30"/>
    </row>
    <row r="370" spans="1:14" ht="60" x14ac:dyDescent="0.25">
      <c r="A370" s="19" t="s">
        <v>6315</v>
      </c>
      <c r="B370" s="17" t="s">
        <v>6314</v>
      </c>
      <c r="C370" s="20">
        <v>1</v>
      </c>
      <c r="D370" s="18">
        <v>39.5</v>
      </c>
      <c r="E370" s="20" t="s">
        <v>1713</v>
      </c>
      <c r="F370" s="17" t="s">
        <v>58</v>
      </c>
      <c r="G370" s="19" t="s">
        <v>57</v>
      </c>
      <c r="H370" s="18">
        <v>7.4400000000000013</v>
      </c>
      <c r="I370" s="17" t="s">
        <v>56</v>
      </c>
      <c r="J370" s="17" t="s">
        <v>55</v>
      </c>
      <c r="K370" s="17"/>
      <c r="L370" s="17"/>
      <c r="M370" s="16" t="str">
        <f>HYPERLINK("http://slimages.macys.com/is/image/MCY/19182949 ")</f>
        <v xml:space="preserve">http://slimages.macys.com/is/image/MCY/19182949 </v>
      </c>
      <c r="N370" s="30"/>
    </row>
    <row r="371" spans="1:14" ht="60" x14ac:dyDescent="0.25">
      <c r="A371" s="19" t="s">
        <v>3307</v>
      </c>
      <c r="B371" s="17" t="s">
        <v>3306</v>
      </c>
      <c r="C371" s="20">
        <v>1</v>
      </c>
      <c r="D371" s="18">
        <v>39.5</v>
      </c>
      <c r="E371" s="20" t="s">
        <v>2545</v>
      </c>
      <c r="F371" s="17" t="s">
        <v>206</v>
      </c>
      <c r="G371" s="19" t="s">
        <v>57</v>
      </c>
      <c r="H371" s="18">
        <v>7.4400000000000013</v>
      </c>
      <c r="I371" s="17" t="s">
        <v>56</v>
      </c>
      <c r="J371" s="17" t="s">
        <v>55</v>
      </c>
      <c r="K371" s="17"/>
      <c r="L371" s="17"/>
      <c r="M371" s="16" t="str">
        <f>HYPERLINK("http://slimages.macys.com/is/image/MCY/19395911 ")</f>
        <v xml:space="preserve">http://slimages.macys.com/is/image/MCY/19395911 </v>
      </c>
      <c r="N371" s="30"/>
    </row>
    <row r="372" spans="1:14" ht="60" x14ac:dyDescent="0.25">
      <c r="A372" s="19" t="s">
        <v>4926</v>
      </c>
      <c r="B372" s="17" t="s">
        <v>4925</v>
      </c>
      <c r="C372" s="20">
        <v>1</v>
      </c>
      <c r="D372" s="18">
        <v>39.5</v>
      </c>
      <c r="E372" s="20" t="s">
        <v>3300</v>
      </c>
      <c r="F372" s="17" t="s">
        <v>51</v>
      </c>
      <c r="G372" s="19" t="s">
        <v>57</v>
      </c>
      <c r="H372" s="18">
        <v>7.4400000000000013</v>
      </c>
      <c r="I372" s="17" t="s">
        <v>56</v>
      </c>
      <c r="J372" s="17" t="s">
        <v>55</v>
      </c>
      <c r="K372" s="17"/>
      <c r="L372" s="17"/>
      <c r="M372" s="16" t="str">
        <f>HYPERLINK("http://slimages.macys.com/is/image/MCY/19183292 ")</f>
        <v xml:space="preserve">http://slimages.macys.com/is/image/MCY/19183292 </v>
      </c>
      <c r="N372" s="30"/>
    </row>
    <row r="373" spans="1:14" ht="60" x14ac:dyDescent="0.25">
      <c r="A373" s="19" t="s">
        <v>2536</v>
      </c>
      <c r="B373" s="17" t="s">
        <v>2535</v>
      </c>
      <c r="C373" s="20">
        <v>2</v>
      </c>
      <c r="D373" s="18">
        <v>39.5</v>
      </c>
      <c r="E373" s="20" t="s">
        <v>1000</v>
      </c>
      <c r="F373" s="17" t="s">
        <v>91</v>
      </c>
      <c r="G373" s="19" t="s">
        <v>69</v>
      </c>
      <c r="H373" s="18">
        <v>7.4400000000000013</v>
      </c>
      <c r="I373" s="17" t="s">
        <v>56</v>
      </c>
      <c r="J373" s="17" t="s">
        <v>55</v>
      </c>
      <c r="K373" s="17"/>
      <c r="L373" s="17"/>
      <c r="M373" s="16" t="str">
        <f>HYPERLINK("http://slimages.macys.com/is/image/MCY/19394976 ")</f>
        <v xml:space="preserve">http://slimages.macys.com/is/image/MCY/19394976 </v>
      </c>
      <c r="N373" s="30"/>
    </row>
    <row r="374" spans="1:14" ht="60" x14ac:dyDescent="0.25">
      <c r="A374" s="19" t="s">
        <v>1721</v>
      </c>
      <c r="B374" s="17" t="s">
        <v>1720</v>
      </c>
      <c r="C374" s="20">
        <v>2</v>
      </c>
      <c r="D374" s="18">
        <v>39.5</v>
      </c>
      <c r="E374" s="20" t="s">
        <v>213</v>
      </c>
      <c r="F374" s="17" t="s">
        <v>63</v>
      </c>
      <c r="G374" s="19" t="s">
        <v>74</v>
      </c>
      <c r="H374" s="18">
        <v>7.4400000000000013</v>
      </c>
      <c r="I374" s="17" t="s">
        <v>56</v>
      </c>
      <c r="J374" s="17" t="s">
        <v>55</v>
      </c>
      <c r="K374" s="17"/>
      <c r="L374" s="17"/>
      <c r="M374" s="16" t="str">
        <f>HYPERLINK("http://slimages.macys.com/is/image/MCY/19179536 ")</f>
        <v xml:space="preserve">http://slimages.macys.com/is/image/MCY/19179536 </v>
      </c>
      <c r="N374" s="30"/>
    </row>
    <row r="375" spans="1:14" ht="60" x14ac:dyDescent="0.25">
      <c r="A375" s="19" t="s">
        <v>1723</v>
      </c>
      <c r="B375" s="17" t="s">
        <v>1722</v>
      </c>
      <c r="C375" s="20">
        <v>1</v>
      </c>
      <c r="D375" s="18">
        <v>39.5</v>
      </c>
      <c r="E375" s="20" t="s">
        <v>1000</v>
      </c>
      <c r="F375" s="17" t="s">
        <v>91</v>
      </c>
      <c r="G375" s="19" t="s">
        <v>57</v>
      </c>
      <c r="H375" s="18">
        <v>7.4400000000000013</v>
      </c>
      <c r="I375" s="17" t="s">
        <v>56</v>
      </c>
      <c r="J375" s="17" t="s">
        <v>55</v>
      </c>
      <c r="K375" s="17"/>
      <c r="L375" s="17"/>
      <c r="M375" s="16" t="str">
        <f>HYPERLINK("http://slimages.macys.com/is/image/MCY/19394976 ")</f>
        <v xml:space="preserve">http://slimages.macys.com/is/image/MCY/19394976 </v>
      </c>
      <c r="N375" s="30"/>
    </row>
    <row r="376" spans="1:14" ht="60" x14ac:dyDescent="0.25">
      <c r="A376" s="19" t="s">
        <v>6313</v>
      </c>
      <c r="B376" s="17" t="s">
        <v>6312</v>
      </c>
      <c r="C376" s="20">
        <v>1</v>
      </c>
      <c r="D376" s="18">
        <v>39.5</v>
      </c>
      <c r="E376" s="20" t="s">
        <v>5519</v>
      </c>
      <c r="F376" s="17" t="s">
        <v>28</v>
      </c>
      <c r="G376" s="19" t="s">
        <v>27</v>
      </c>
      <c r="H376" s="18">
        <v>7.4400000000000013</v>
      </c>
      <c r="I376" s="17" t="s">
        <v>68</v>
      </c>
      <c r="J376" s="17" t="s">
        <v>67</v>
      </c>
      <c r="K376" s="17"/>
      <c r="L376" s="17"/>
      <c r="M376" s="16" t="str">
        <f>HYPERLINK("http://slimages.macys.com/is/image/MCY/18864439 ")</f>
        <v xml:space="preserve">http://slimages.macys.com/is/image/MCY/18864439 </v>
      </c>
      <c r="N376" s="30"/>
    </row>
    <row r="377" spans="1:14" ht="60" x14ac:dyDescent="0.25">
      <c r="A377" s="19" t="s">
        <v>1018</v>
      </c>
      <c r="B377" s="17" t="s">
        <v>1017</v>
      </c>
      <c r="C377" s="20">
        <v>1</v>
      </c>
      <c r="D377" s="18">
        <v>39.5</v>
      </c>
      <c r="E377" s="20" t="s">
        <v>213</v>
      </c>
      <c r="F377" s="17" t="s">
        <v>23</v>
      </c>
      <c r="G377" s="19" t="s">
        <v>74</v>
      </c>
      <c r="H377" s="18">
        <v>7.4400000000000013</v>
      </c>
      <c r="I377" s="17" t="s">
        <v>56</v>
      </c>
      <c r="J377" s="17" t="s">
        <v>55</v>
      </c>
      <c r="K377" s="17"/>
      <c r="L377" s="17"/>
      <c r="M377" s="16" t="str">
        <f>HYPERLINK("http://slimages.macys.com/is/image/MCY/19179536 ")</f>
        <v xml:space="preserve">http://slimages.macys.com/is/image/MCY/19179536 </v>
      </c>
      <c r="N377" s="30"/>
    </row>
    <row r="378" spans="1:14" ht="60" x14ac:dyDescent="0.25">
      <c r="A378" s="19" t="s">
        <v>1012</v>
      </c>
      <c r="B378" s="17" t="s">
        <v>1011</v>
      </c>
      <c r="C378" s="20">
        <v>1</v>
      </c>
      <c r="D378" s="18">
        <v>39.5</v>
      </c>
      <c r="E378" s="20" t="s">
        <v>213</v>
      </c>
      <c r="F378" s="17" t="s">
        <v>23</v>
      </c>
      <c r="G378" s="19" t="s">
        <v>197</v>
      </c>
      <c r="H378" s="18">
        <v>7.4400000000000013</v>
      </c>
      <c r="I378" s="17" t="s">
        <v>56</v>
      </c>
      <c r="J378" s="17" t="s">
        <v>55</v>
      </c>
      <c r="K378" s="17"/>
      <c r="L378" s="17"/>
      <c r="M378" s="16" t="str">
        <f>HYPERLINK("http://slimages.macys.com/is/image/MCY/19179536 ")</f>
        <v xml:space="preserve">http://slimages.macys.com/is/image/MCY/19179536 </v>
      </c>
      <c r="N378" s="30"/>
    </row>
    <row r="379" spans="1:14" ht="60" x14ac:dyDescent="0.25">
      <c r="A379" s="19" t="s">
        <v>999</v>
      </c>
      <c r="B379" s="17" t="s">
        <v>998</v>
      </c>
      <c r="C379" s="20">
        <v>1</v>
      </c>
      <c r="D379" s="18">
        <v>39.5</v>
      </c>
      <c r="E379" s="20" t="s">
        <v>213</v>
      </c>
      <c r="F379" s="17" t="s">
        <v>23</v>
      </c>
      <c r="G379" s="19" t="s">
        <v>69</v>
      </c>
      <c r="H379" s="18">
        <v>7.4400000000000013</v>
      </c>
      <c r="I379" s="17" t="s">
        <v>56</v>
      </c>
      <c r="J379" s="17" t="s">
        <v>55</v>
      </c>
      <c r="K379" s="17"/>
      <c r="L379" s="17"/>
      <c r="M379" s="16" t="str">
        <f>HYPERLINK("http://slimages.macys.com/is/image/MCY/19179536 ")</f>
        <v xml:space="preserve">http://slimages.macys.com/is/image/MCY/19179536 </v>
      </c>
      <c r="N379" s="30"/>
    </row>
    <row r="380" spans="1:14" ht="60" x14ac:dyDescent="0.25">
      <c r="A380" s="19" t="s">
        <v>6311</v>
      </c>
      <c r="B380" s="17" t="s">
        <v>6310</v>
      </c>
      <c r="C380" s="20">
        <v>2</v>
      </c>
      <c r="D380" s="18">
        <v>49.5</v>
      </c>
      <c r="E380" s="20" t="s">
        <v>6307</v>
      </c>
      <c r="F380" s="17" t="s">
        <v>58</v>
      </c>
      <c r="G380" s="19"/>
      <c r="H380" s="18">
        <v>7.4400000000000013</v>
      </c>
      <c r="I380" s="17" t="s">
        <v>1891</v>
      </c>
      <c r="J380" s="17" t="s">
        <v>2435</v>
      </c>
      <c r="K380" s="17"/>
      <c r="L380" s="17"/>
      <c r="M380" s="16" t="str">
        <f>HYPERLINK("http://slimages.macys.com/is/image/MCY/16661287 ")</f>
        <v xml:space="preserve">http://slimages.macys.com/is/image/MCY/16661287 </v>
      </c>
      <c r="N380" s="30"/>
    </row>
    <row r="381" spans="1:14" ht="60" x14ac:dyDescent="0.25">
      <c r="A381" s="19" t="s">
        <v>6309</v>
      </c>
      <c r="B381" s="17" t="s">
        <v>6308</v>
      </c>
      <c r="C381" s="20">
        <v>2</v>
      </c>
      <c r="D381" s="18">
        <v>49.5</v>
      </c>
      <c r="E381" s="20" t="s">
        <v>6307</v>
      </c>
      <c r="F381" s="17" t="s">
        <v>58</v>
      </c>
      <c r="G381" s="19" t="s">
        <v>139</v>
      </c>
      <c r="H381" s="18">
        <v>7.4400000000000013</v>
      </c>
      <c r="I381" s="17" t="s">
        <v>1891</v>
      </c>
      <c r="J381" s="17" t="s">
        <v>2435</v>
      </c>
      <c r="K381" s="17"/>
      <c r="L381" s="17"/>
      <c r="M381" s="16" t="str">
        <f>HYPERLINK("http://slimages.macys.com/is/image/MCY/16661287 ")</f>
        <v xml:space="preserve">http://slimages.macys.com/is/image/MCY/16661287 </v>
      </c>
      <c r="N381" s="30"/>
    </row>
    <row r="382" spans="1:14" ht="60" x14ac:dyDescent="0.25">
      <c r="A382" s="19" t="s">
        <v>2541</v>
      </c>
      <c r="B382" s="17" t="s">
        <v>2540</v>
      </c>
      <c r="C382" s="20">
        <v>1</v>
      </c>
      <c r="D382" s="18">
        <v>39.5</v>
      </c>
      <c r="E382" s="20" t="s">
        <v>2539</v>
      </c>
      <c r="F382" s="17" t="s">
        <v>51</v>
      </c>
      <c r="G382" s="19" t="s">
        <v>271</v>
      </c>
      <c r="H382" s="18">
        <v>7.4400000000000013</v>
      </c>
      <c r="I382" s="17" t="s">
        <v>1891</v>
      </c>
      <c r="J382" s="17" t="s">
        <v>2435</v>
      </c>
      <c r="K382" s="17"/>
      <c r="L382" s="17"/>
      <c r="M382" s="16" t="str">
        <f>HYPERLINK("http://slimages.macys.com/is/image/MCY/19009037 ")</f>
        <v xml:space="preserve">http://slimages.macys.com/is/image/MCY/19009037 </v>
      </c>
      <c r="N382" s="30"/>
    </row>
    <row r="383" spans="1:14" ht="60" x14ac:dyDescent="0.25">
      <c r="A383" s="19" t="s">
        <v>1002</v>
      </c>
      <c r="B383" s="17" t="s">
        <v>1001</v>
      </c>
      <c r="C383" s="20">
        <v>1</v>
      </c>
      <c r="D383" s="18">
        <v>39.5</v>
      </c>
      <c r="E383" s="20" t="s">
        <v>1000</v>
      </c>
      <c r="F383" s="17" t="s">
        <v>91</v>
      </c>
      <c r="G383" s="19" t="s">
        <v>197</v>
      </c>
      <c r="H383" s="18">
        <v>7.4400000000000013</v>
      </c>
      <c r="I383" s="17" t="s">
        <v>56</v>
      </c>
      <c r="J383" s="17" t="s">
        <v>55</v>
      </c>
      <c r="K383" s="17"/>
      <c r="L383" s="17"/>
      <c r="M383" s="16" t="str">
        <f>HYPERLINK("http://slimages.macys.com/is/image/MCY/19394976 ")</f>
        <v xml:space="preserve">http://slimages.macys.com/is/image/MCY/19394976 </v>
      </c>
      <c r="N383" s="30"/>
    </row>
    <row r="384" spans="1:14" ht="60" x14ac:dyDescent="0.25">
      <c r="A384" s="19" t="s">
        <v>5511</v>
      </c>
      <c r="B384" s="17" t="s">
        <v>5510</v>
      </c>
      <c r="C384" s="20">
        <v>1</v>
      </c>
      <c r="D384" s="18">
        <v>39.5</v>
      </c>
      <c r="E384" s="20" t="s">
        <v>1731</v>
      </c>
      <c r="F384" s="17" t="s">
        <v>91</v>
      </c>
      <c r="G384" s="19" t="s">
        <v>74</v>
      </c>
      <c r="H384" s="18">
        <v>7.4400000000000013</v>
      </c>
      <c r="I384" s="17" t="s">
        <v>56</v>
      </c>
      <c r="J384" s="17" t="s">
        <v>55</v>
      </c>
      <c r="K384" s="17"/>
      <c r="L384" s="17"/>
      <c r="M384" s="16" t="str">
        <f>HYPERLINK("http://slimages.macys.com/is/image/MCY/18372028 ")</f>
        <v xml:space="preserve">http://slimages.macys.com/is/image/MCY/18372028 </v>
      </c>
      <c r="N384" s="30"/>
    </row>
    <row r="385" spans="1:14" ht="60" x14ac:dyDescent="0.25">
      <c r="A385" s="19" t="s">
        <v>6306</v>
      </c>
      <c r="B385" s="17" t="s">
        <v>6305</v>
      </c>
      <c r="C385" s="20">
        <v>1</v>
      </c>
      <c r="D385" s="18">
        <v>31.99</v>
      </c>
      <c r="E385" s="20" t="s">
        <v>6304</v>
      </c>
      <c r="F385" s="17" t="s">
        <v>149</v>
      </c>
      <c r="G385" s="19" t="s">
        <v>62</v>
      </c>
      <c r="H385" s="18">
        <v>7.4400000000000013</v>
      </c>
      <c r="I385" s="17" t="s">
        <v>68</v>
      </c>
      <c r="J385" s="17" t="s">
        <v>67</v>
      </c>
      <c r="K385" s="17" t="s">
        <v>389</v>
      </c>
      <c r="L385" s="17" t="s">
        <v>1804</v>
      </c>
      <c r="M385" s="16" t="str">
        <f>HYPERLINK("http://slimages.macys.com/is/image/MCY/16175132 ")</f>
        <v xml:space="preserve">http://slimages.macys.com/is/image/MCY/16175132 </v>
      </c>
      <c r="N385" s="30"/>
    </row>
    <row r="386" spans="1:14" ht="60" x14ac:dyDescent="0.25">
      <c r="A386" s="19" t="s">
        <v>6303</v>
      </c>
      <c r="B386" s="17" t="s">
        <v>6302</v>
      </c>
      <c r="C386" s="20">
        <v>1</v>
      </c>
      <c r="D386" s="18">
        <v>39.5</v>
      </c>
      <c r="E386" s="20" t="s">
        <v>6301</v>
      </c>
      <c r="F386" s="17" t="s">
        <v>58</v>
      </c>
      <c r="G386" s="19" t="s">
        <v>197</v>
      </c>
      <c r="H386" s="18">
        <v>7.4333333333333336</v>
      </c>
      <c r="I386" s="17" t="s">
        <v>56</v>
      </c>
      <c r="J386" s="17" t="s">
        <v>55</v>
      </c>
      <c r="K386" s="17"/>
      <c r="L386" s="17"/>
      <c r="M386" s="16" t="str">
        <f>HYPERLINK("http://slimages.macys.com/is/image/MCY/18361130 ")</f>
        <v xml:space="preserve">http://slimages.macys.com/is/image/MCY/18361130 </v>
      </c>
      <c r="N386" s="30"/>
    </row>
    <row r="387" spans="1:14" ht="60" x14ac:dyDescent="0.25">
      <c r="A387" s="19" t="s">
        <v>6300</v>
      </c>
      <c r="B387" s="17" t="s">
        <v>6299</v>
      </c>
      <c r="C387" s="20">
        <v>1</v>
      </c>
      <c r="D387" s="18">
        <v>49</v>
      </c>
      <c r="E387" s="20">
        <v>2331616</v>
      </c>
      <c r="F387" s="17" t="s">
        <v>1022</v>
      </c>
      <c r="G387" s="19" t="s">
        <v>101</v>
      </c>
      <c r="H387" s="18">
        <v>7.4000000000000012</v>
      </c>
      <c r="I387" s="17" t="s">
        <v>80</v>
      </c>
      <c r="J387" s="17" t="s">
        <v>293</v>
      </c>
      <c r="K387" s="17"/>
      <c r="L387" s="17"/>
      <c r="M387" s="16" t="str">
        <f>HYPERLINK("http://slimages.macys.com/is/image/MCY/19753740 ")</f>
        <v xml:space="preserve">http://slimages.macys.com/is/image/MCY/19753740 </v>
      </c>
      <c r="N387" s="30"/>
    </row>
    <row r="388" spans="1:14" ht="60" x14ac:dyDescent="0.25">
      <c r="A388" s="19" t="s">
        <v>6298</v>
      </c>
      <c r="B388" s="17" t="s">
        <v>6297</v>
      </c>
      <c r="C388" s="20">
        <v>1</v>
      </c>
      <c r="D388" s="18">
        <v>44</v>
      </c>
      <c r="E388" s="20">
        <v>7021624</v>
      </c>
      <c r="F388" s="17" t="s">
        <v>91</v>
      </c>
      <c r="G388" s="19" t="s">
        <v>17</v>
      </c>
      <c r="H388" s="18">
        <v>7.3333333333333339</v>
      </c>
      <c r="I388" s="17" t="s">
        <v>111</v>
      </c>
      <c r="J388" s="17" t="s">
        <v>110</v>
      </c>
      <c r="K388" s="17"/>
      <c r="L388" s="17"/>
      <c r="M388" s="16" t="str">
        <f>HYPERLINK("http://slimages.macys.com/is/image/MCY/18742229 ")</f>
        <v xml:space="preserve">http://slimages.macys.com/is/image/MCY/18742229 </v>
      </c>
      <c r="N388" s="30"/>
    </row>
    <row r="389" spans="1:14" ht="60" x14ac:dyDescent="0.25">
      <c r="A389" s="19" t="s">
        <v>6296</v>
      </c>
      <c r="B389" s="17" t="s">
        <v>6295</v>
      </c>
      <c r="C389" s="20">
        <v>1</v>
      </c>
      <c r="D389" s="18">
        <v>44</v>
      </c>
      <c r="E389" s="20">
        <v>7021624</v>
      </c>
      <c r="F389" s="17" t="s">
        <v>91</v>
      </c>
      <c r="G389" s="19" t="s">
        <v>22</v>
      </c>
      <c r="H389" s="18">
        <v>7.3333333333333339</v>
      </c>
      <c r="I389" s="17" t="s">
        <v>111</v>
      </c>
      <c r="J389" s="17" t="s">
        <v>110</v>
      </c>
      <c r="K389" s="17"/>
      <c r="L389" s="17"/>
      <c r="M389" s="16" t="str">
        <f>HYPERLINK("http://slimages.macys.com/is/image/MCY/18742229 ")</f>
        <v xml:space="preserve">http://slimages.macys.com/is/image/MCY/18742229 </v>
      </c>
      <c r="N389" s="30"/>
    </row>
    <row r="390" spans="1:14" ht="60" x14ac:dyDescent="0.25">
      <c r="A390" s="19" t="s">
        <v>6294</v>
      </c>
      <c r="B390" s="17" t="s">
        <v>6293</v>
      </c>
      <c r="C390" s="20">
        <v>1</v>
      </c>
      <c r="D390" s="18">
        <v>27.3</v>
      </c>
      <c r="E390" s="20" t="s">
        <v>3290</v>
      </c>
      <c r="F390" s="17" t="s">
        <v>63</v>
      </c>
      <c r="G390" s="19" t="s">
        <v>197</v>
      </c>
      <c r="H390" s="18">
        <v>7.120000000000001</v>
      </c>
      <c r="I390" s="17" t="s">
        <v>42</v>
      </c>
      <c r="J390" s="17" t="s">
        <v>41</v>
      </c>
      <c r="K390" s="17"/>
      <c r="L390" s="17"/>
      <c r="M390" s="16" t="str">
        <f>HYPERLINK("http://slimages.macys.com/is/image/MCY/18757237 ")</f>
        <v xml:space="preserve">http://slimages.macys.com/is/image/MCY/18757237 </v>
      </c>
      <c r="N390" s="30"/>
    </row>
    <row r="391" spans="1:14" ht="60" x14ac:dyDescent="0.25">
      <c r="A391" s="19" t="s">
        <v>6292</v>
      </c>
      <c r="B391" s="17" t="s">
        <v>6291</v>
      </c>
      <c r="C391" s="20">
        <v>1</v>
      </c>
      <c r="D391" s="18">
        <v>30</v>
      </c>
      <c r="E391" s="20" t="s">
        <v>3287</v>
      </c>
      <c r="F391" s="17" t="s">
        <v>23</v>
      </c>
      <c r="G391" s="19" t="s">
        <v>50</v>
      </c>
      <c r="H391" s="18">
        <v>6.9933333333333332</v>
      </c>
      <c r="I391" s="17" t="s">
        <v>16</v>
      </c>
      <c r="J391" s="17" t="s">
        <v>15</v>
      </c>
      <c r="K391" s="17"/>
      <c r="L391" s="17"/>
      <c r="M391" s="16" t="str">
        <f>HYPERLINK("http://slimages.macys.com/is/image/MCY/18946163 ")</f>
        <v xml:space="preserve">http://slimages.macys.com/is/image/MCY/18946163 </v>
      </c>
      <c r="N391" s="30"/>
    </row>
    <row r="392" spans="1:14" ht="60" x14ac:dyDescent="0.25">
      <c r="A392" s="19" t="s">
        <v>3289</v>
      </c>
      <c r="B392" s="17" t="s">
        <v>3288</v>
      </c>
      <c r="C392" s="20">
        <v>1</v>
      </c>
      <c r="D392" s="18">
        <v>30</v>
      </c>
      <c r="E392" s="20" t="s">
        <v>3287</v>
      </c>
      <c r="F392" s="17" t="s">
        <v>23</v>
      </c>
      <c r="G392" s="19" t="s">
        <v>62</v>
      </c>
      <c r="H392" s="18">
        <v>6.9933333333333332</v>
      </c>
      <c r="I392" s="17" t="s">
        <v>16</v>
      </c>
      <c r="J392" s="17" t="s">
        <v>15</v>
      </c>
      <c r="K392" s="17"/>
      <c r="L392" s="17"/>
      <c r="M392" s="16" t="str">
        <f>HYPERLINK("http://slimages.macys.com/is/image/MCY/18946163 ")</f>
        <v xml:space="preserve">http://slimages.macys.com/is/image/MCY/18946163 </v>
      </c>
      <c r="N392" s="30"/>
    </row>
    <row r="393" spans="1:14" ht="60" x14ac:dyDescent="0.25">
      <c r="A393" s="19" t="s">
        <v>6290</v>
      </c>
      <c r="B393" s="17" t="s">
        <v>6289</v>
      </c>
      <c r="C393" s="20">
        <v>1</v>
      </c>
      <c r="D393" s="18">
        <v>30</v>
      </c>
      <c r="E393" s="20" t="s">
        <v>3287</v>
      </c>
      <c r="F393" s="17" t="s">
        <v>23</v>
      </c>
      <c r="G393" s="19" t="s">
        <v>22</v>
      </c>
      <c r="H393" s="18">
        <v>6.9933333333333332</v>
      </c>
      <c r="I393" s="17" t="s">
        <v>16</v>
      </c>
      <c r="J393" s="17" t="s">
        <v>15</v>
      </c>
      <c r="K393" s="17"/>
      <c r="L393" s="17"/>
      <c r="M393" s="16" t="str">
        <f>HYPERLINK("http://slimages.macys.com/is/image/MCY/18946163 ")</f>
        <v xml:space="preserve">http://slimages.macys.com/is/image/MCY/18946163 </v>
      </c>
      <c r="N393" s="30"/>
    </row>
    <row r="394" spans="1:14" ht="60" x14ac:dyDescent="0.25">
      <c r="A394" s="19" t="s">
        <v>6288</v>
      </c>
      <c r="B394" s="17" t="s">
        <v>6287</v>
      </c>
      <c r="C394" s="20">
        <v>2</v>
      </c>
      <c r="D394" s="18">
        <v>30</v>
      </c>
      <c r="E394" s="20" t="s">
        <v>3287</v>
      </c>
      <c r="F394" s="17" t="s">
        <v>23</v>
      </c>
      <c r="G394" s="19" t="s">
        <v>17</v>
      </c>
      <c r="H394" s="18">
        <v>6.9933333333333332</v>
      </c>
      <c r="I394" s="17" t="s">
        <v>16</v>
      </c>
      <c r="J394" s="17" t="s">
        <v>15</v>
      </c>
      <c r="K394" s="17"/>
      <c r="L394" s="17"/>
      <c r="M394" s="16" t="str">
        <f>HYPERLINK("http://slimages.macys.com/is/image/MCY/18946163 ")</f>
        <v xml:space="preserve">http://slimages.macys.com/is/image/MCY/18946163 </v>
      </c>
      <c r="N394" s="30"/>
    </row>
    <row r="395" spans="1:14" ht="60" x14ac:dyDescent="0.25">
      <c r="A395" s="19" t="s">
        <v>6286</v>
      </c>
      <c r="B395" s="17" t="s">
        <v>6285</v>
      </c>
      <c r="C395" s="20">
        <v>1</v>
      </c>
      <c r="D395" s="18">
        <v>39.5</v>
      </c>
      <c r="E395" s="20" t="s">
        <v>6284</v>
      </c>
      <c r="F395" s="17" t="s">
        <v>206</v>
      </c>
      <c r="G395" s="19" t="s">
        <v>271</v>
      </c>
      <c r="H395" s="18">
        <v>6.8466666666666667</v>
      </c>
      <c r="I395" s="17" t="s">
        <v>1891</v>
      </c>
      <c r="J395" s="17" t="s">
        <v>2435</v>
      </c>
      <c r="K395" s="17" t="s">
        <v>389</v>
      </c>
      <c r="L395" s="17" t="s">
        <v>1044</v>
      </c>
      <c r="M395" s="16" t="str">
        <f>HYPERLINK("http://slimages.macys.com/is/image/MCY/13912798 ")</f>
        <v xml:space="preserve">http://slimages.macys.com/is/image/MCY/13912798 </v>
      </c>
      <c r="N395" s="30"/>
    </row>
    <row r="396" spans="1:14" ht="60" x14ac:dyDescent="0.25">
      <c r="A396" s="19" t="s">
        <v>6283</v>
      </c>
      <c r="B396" s="17" t="s">
        <v>6282</v>
      </c>
      <c r="C396" s="20">
        <v>1</v>
      </c>
      <c r="D396" s="18">
        <v>35</v>
      </c>
      <c r="E396" s="20" t="s">
        <v>6281</v>
      </c>
      <c r="F396" s="17" t="s">
        <v>716</v>
      </c>
      <c r="G396" s="19" t="s">
        <v>69</v>
      </c>
      <c r="H396" s="18">
        <v>6.666666666666667</v>
      </c>
      <c r="I396" s="17" t="s">
        <v>80</v>
      </c>
      <c r="J396" s="17" t="s">
        <v>187</v>
      </c>
      <c r="K396" s="17" t="s">
        <v>389</v>
      </c>
      <c r="L396" s="17" t="s">
        <v>1044</v>
      </c>
      <c r="M396" s="16" t="str">
        <f>HYPERLINK("http://slimages.macys.com/is/image/MCY/16289837 ")</f>
        <v xml:space="preserve">http://slimages.macys.com/is/image/MCY/16289837 </v>
      </c>
      <c r="N396" s="30"/>
    </row>
    <row r="397" spans="1:14" ht="60" x14ac:dyDescent="0.25">
      <c r="A397" s="19" t="s">
        <v>6280</v>
      </c>
      <c r="B397" s="17" t="s">
        <v>6279</v>
      </c>
      <c r="C397" s="20">
        <v>1</v>
      </c>
      <c r="D397" s="18">
        <v>35</v>
      </c>
      <c r="E397" s="20" t="s">
        <v>1704</v>
      </c>
      <c r="F397" s="17" t="s">
        <v>35</v>
      </c>
      <c r="G397" s="19" t="s">
        <v>69</v>
      </c>
      <c r="H397" s="18">
        <v>6.666666666666667</v>
      </c>
      <c r="I397" s="17" t="s">
        <v>80</v>
      </c>
      <c r="J397" s="17" t="s">
        <v>187</v>
      </c>
      <c r="K397" s="17"/>
      <c r="L397" s="17"/>
      <c r="M397" s="16" t="str">
        <f>HYPERLINK("http://slimages.macys.com/is/image/MCY/20043665 ")</f>
        <v xml:space="preserve">http://slimages.macys.com/is/image/MCY/20043665 </v>
      </c>
      <c r="N397" s="30"/>
    </row>
    <row r="398" spans="1:14" ht="60" x14ac:dyDescent="0.25">
      <c r="A398" s="19" t="s">
        <v>5497</v>
      </c>
      <c r="B398" s="17" t="s">
        <v>5496</v>
      </c>
      <c r="C398" s="20">
        <v>1</v>
      </c>
      <c r="D398" s="18">
        <v>36.75</v>
      </c>
      <c r="E398" s="20" t="s">
        <v>5495</v>
      </c>
      <c r="F398" s="17" t="s">
        <v>35</v>
      </c>
      <c r="G398" s="19" t="s">
        <v>351</v>
      </c>
      <c r="H398" s="18">
        <v>6.6133333333333333</v>
      </c>
      <c r="I398" s="17" t="s">
        <v>358</v>
      </c>
      <c r="J398" s="17" t="s">
        <v>32</v>
      </c>
      <c r="K398" s="17"/>
      <c r="L398" s="17"/>
      <c r="M398" s="16" t="str">
        <f>HYPERLINK("http://slimages.macys.com/is/image/MCY/19586643 ")</f>
        <v xml:space="preserve">http://slimages.macys.com/is/image/MCY/19586643 </v>
      </c>
      <c r="N398" s="30"/>
    </row>
    <row r="399" spans="1:14" ht="60" x14ac:dyDescent="0.25">
      <c r="A399" s="19" t="s">
        <v>3284</v>
      </c>
      <c r="B399" s="17" t="s">
        <v>3283</v>
      </c>
      <c r="C399" s="20">
        <v>1</v>
      </c>
      <c r="D399" s="18">
        <v>28</v>
      </c>
      <c r="E399" s="20" t="s">
        <v>3282</v>
      </c>
      <c r="F399" s="17" t="s">
        <v>23</v>
      </c>
      <c r="G399" s="19" t="s">
        <v>197</v>
      </c>
      <c r="H399" s="18">
        <v>6.5333333333333332</v>
      </c>
      <c r="I399" s="17" t="s">
        <v>80</v>
      </c>
      <c r="J399" s="17" t="s">
        <v>79</v>
      </c>
      <c r="K399" s="17"/>
      <c r="L399" s="17"/>
      <c r="M399" s="16" t="str">
        <f>HYPERLINK("http://slimages.macys.com/is/image/MCY/18593745 ")</f>
        <v xml:space="preserve">http://slimages.macys.com/is/image/MCY/18593745 </v>
      </c>
      <c r="N399" s="30"/>
    </row>
    <row r="400" spans="1:14" ht="60" x14ac:dyDescent="0.25">
      <c r="A400" s="19" t="s">
        <v>6278</v>
      </c>
      <c r="B400" s="17" t="s">
        <v>6277</v>
      </c>
      <c r="C400" s="20">
        <v>1</v>
      </c>
      <c r="D400" s="18">
        <v>28</v>
      </c>
      <c r="E400" s="20" t="s">
        <v>3282</v>
      </c>
      <c r="F400" s="17" t="s">
        <v>23</v>
      </c>
      <c r="G400" s="19" t="s">
        <v>69</v>
      </c>
      <c r="H400" s="18">
        <v>6.5333333333333332</v>
      </c>
      <c r="I400" s="17" t="s">
        <v>80</v>
      </c>
      <c r="J400" s="17" t="s">
        <v>79</v>
      </c>
      <c r="K400" s="17"/>
      <c r="L400" s="17"/>
      <c r="M400" s="16" t="str">
        <f>HYPERLINK("http://slimages.macys.com/is/image/MCY/18593745 ")</f>
        <v xml:space="preserve">http://slimages.macys.com/is/image/MCY/18593745 </v>
      </c>
      <c r="N400" s="30"/>
    </row>
    <row r="401" spans="1:14" ht="60" x14ac:dyDescent="0.25">
      <c r="A401" s="19" t="s">
        <v>6276</v>
      </c>
      <c r="B401" s="17" t="s">
        <v>6275</v>
      </c>
      <c r="C401" s="20">
        <v>1</v>
      </c>
      <c r="D401" s="18">
        <v>48</v>
      </c>
      <c r="E401" s="20">
        <v>30124088</v>
      </c>
      <c r="F401" s="17" t="s">
        <v>544</v>
      </c>
      <c r="G401" s="19" t="s">
        <v>857</v>
      </c>
      <c r="H401" s="18">
        <v>6.4</v>
      </c>
      <c r="I401" s="17" t="s">
        <v>1777</v>
      </c>
      <c r="J401" s="17" t="s">
        <v>1776</v>
      </c>
      <c r="K401" s="17"/>
      <c r="L401" s="17"/>
      <c r="M401" s="16" t="str">
        <f>HYPERLINK("http://slimages.macys.com/is/image/MCY/18095830 ")</f>
        <v xml:space="preserve">http://slimages.macys.com/is/image/MCY/18095830 </v>
      </c>
      <c r="N401" s="30"/>
    </row>
    <row r="402" spans="1:14" ht="60" x14ac:dyDescent="0.25">
      <c r="A402" s="19" t="s">
        <v>6274</v>
      </c>
      <c r="B402" s="17" t="s">
        <v>6273</v>
      </c>
      <c r="C402" s="20">
        <v>3</v>
      </c>
      <c r="D402" s="18">
        <v>25</v>
      </c>
      <c r="E402" s="20" t="s">
        <v>180</v>
      </c>
      <c r="F402" s="17" t="s">
        <v>164</v>
      </c>
      <c r="G402" s="19" t="s">
        <v>62</v>
      </c>
      <c r="H402" s="18">
        <v>5.86</v>
      </c>
      <c r="I402" s="17" t="s">
        <v>16</v>
      </c>
      <c r="J402" s="17" t="s">
        <v>15</v>
      </c>
      <c r="K402" s="17"/>
      <c r="L402" s="17"/>
      <c r="M402" s="16" t="str">
        <f>HYPERLINK("http://slimages.macys.com/is/image/MCY/19146983 ")</f>
        <v xml:space="preserve">http://slimages.macys.com/is/image/MCY/19146983 </v>
      </c>
      <c r="N402" s="30"/>
    </row>
    <row r="403" spans="1:14" ht="60" x14ac:dyDescent="0.25">
      <c r="A403" s="19" t="s">
        <v>6272</v>
      </c>
      <c r="B403" s="17" t="s">
        <v>6271</v>
      </c>
      <c r="C403" s="20">
        <v>1</v>
      </c>
      <c r="D403" s="18">
        <v>25</v>
      </c>
      <c r="E403" s="20" t="s">
        <v>180</v>
      </c>
      <c r="F403" s="17" t="s">
        <v>51</v>
      </c>
      <c r="G403" s="19" t="s">
        <v>62</v>
      </c>
      <c r="H403" s="18">
        <v>5.86</v>
      </c>
      <c r="I403" s="17" t="s">
        <v>16</v>
      </c>
      <c r="J403" s="17" t="s">
        <v>15</v>
      </c>
      <c r="K403" s="17"/>
      <c r="L403" s="17"/>
      <c r="M403" s="16" t="str">
        <f>HYPERLINK("http://slimages.macys.com/is/image/MCY/19146983 ")</f>
        <v xml:space="preserve">http://slimages.macys.com/is/image/MCY/19146983 </v>
      </c>
      <c r="N403" s="30"/>
    </row>
    <row r="404" spans="1:14" ht="60" x14ac:dyDescent="0.25">
      <c r="A404" s="19" t="s">
        <v>6270</v>
      </c>
      <c r="B404" s="17" t="s">
        <v>6269</v>
      </c>
      <c r="C404" s="20">
        <v>2</v>
      </c>
      <c r="D404" s="18">
        <v>25</v>
      </c>
      <c r="E404" s="20" t="s">
        <v>180</v>
      </c>
      <c r="F404" s="17" t="s">
        <v>164</v>
      </c>
      <c r="G404" s="19" t="s">
        <v>50</v>
      </c>
      <c r="H404" s="18">
        <v>5.86</v>
      </c>
      <c r="I404" s="17" t="s">
        <v>16</v>
      </c>
      <c r="J404" s="17" t="s">
        <v>15</v>
      </c>
      <c r="K404" s="17"/>
      <c r="L404" s="17"/>
      <c r="M404" s="16" t="str">
        <f>HYPERLINK("http://slimages.macys.com/is/image/MCY/19146983 ")</f>
        <v xml:space="preserve">http://slimages.macys.com/is/image/MCY/19146983 </v>
      </c>
      <c r="N404" s="30"/>
    </row>
    <row r="405" spans="1:14" ht="60" x14ac:dyDescent="0.25">
      <c r="A405" s="19" t="s">
        <v>6268</v>
      </c>
      <c r="B405" s="17" t="s">
        <v>6267</v>
      </c>
      <c r="C405" s="20">
        <v>9</v>
      </c>
      <c r="D405" s="18">
        <v>25</v>
      </c>
      <c r="E405" s="20" t="s">
        <v>978</v>
      </c>
      <c r="F405" s="17" t="s">
        <v>28</v>
      </c>
      <c r="G405" s="19" t="s">
        <v>17</v>
      </c>
      <c r="H405" s="18">
        <v>5.86</v>
      </c>
      <c r="I405" s="17" t="s">
        <v>16</v>
      </c>
      <c r="J405" s="17" t="s">
        <v>15</v>
      </c>
      <c r="K405" s="17"/>
      <c r="L405" s="17"/>
      <c r="M405" s="16" t="str">
        <f>HYPERLINK("http://slimages.macys.com/is/image/MCY/19122031 ")</f>
        <v xml:space="preserve">http://slimages.macys.com/is/image/MCY/19122031 </v>
      </c>
      <c r="N405" s="30"/>
    </row>
    <row r="406" spans="1:14" ht="60" x14ac:dyDescent="0.25">
      <c r="A406" s="19" t="s">
        <v>6266</v>
      </c>
      <c r="B406" s="17" t="s">
        <v>6265</v>
      </c>
      <c r="C406" s="20">
        <v>1</v>
      </c>
      <c r="D406" s="18">
        <v>25</v>
      </c>
      <c r="E406" s="20" t="s">
        <v>180</v>
      </c>
      <c r="F406" s="17" t="s">
        <v>51</v>
      </c>
      <c r="G406" s="19" t="s">
        <v>101</v>
      </c>
      <c r="H406" s="18">
        <v>5.86</v>
      </c>
      <c r="I406" s="17" t="s">
        <v>16</v>
      </c>
      <c r="J406" s="17" t="s">
        <v>15</v>
      </c>
      <c r="K406" s="17"/>
      <c r="L406" s="17"/>
      <c r="M406" s="16" t="str">
        <f>HYPERLINK("http://slimages.macys.com/is/image/MCY/19146983 ")</f>
        <v xml:space="preserve">http://slimages.macys.com/is/image/MCY/19146983 </v>
      </c>
      <c r="N406" s="30"/>
    </row>
    <row r="407" spans="1:14" ht="60" x14ac:dyDescent="0.25">
      <c r="A407" s="19" t="s">
        <v>6264</v>
      </c>
      <c r="B407" s="17" t="s">
        <v>6263</v>
      </c>
      <c r="C407" s="20">
        <v>1</v>
      </c>
      <c r="D407" s="18">
        <v>25</v>
      </c>
      <c r="E407" s="20" t="s">
        <v>2482</v>
      </c>
      <c r="F407" s="17" t="s">
        <v>164</v>
      </c>
      <c r="G407" s="19" t="s">
        <v>50</v>
      </c>
      <c r="H407" s="18">
        <v>5.86</v>
      </c>
      <c r="I407" s="17" t="s">
        <v>16</v>
      </c>
      <c r="J407" s="17" t="s">
        <v>15</v>
      </c>
      <c r="K407" s="17"/>
      <c r="L407" s="17"/>
      <c r="M407" s="16" t="str">
        <f>HYPERLINK("http://slimages.macys.com/is/image/MCY/19147143 ")</f>
        <v xml:space="preserve">http://slimages.macys.com/is/image/MCY/19147143 </v>
      </c>
      <c r="N407" s="30"/>
    </row>
    <row r="408" spans="1:14" ht="60" x14ac:dyDescent="0.25">
      <c r="A408" s="19" t="s">
        <v>6262</v>
      </c>
      <c r="B408" s="17" t="s">
        <v>6261</v>
      </c>
      <c r="C408" s="20">
        <v>1</v>
      </c>
      <c r="D408" s="18">
        <v>25</v>
      </c>
      <c r="E408" s="20" t="s">
        <v>2482</v>
      </c>
      <c r="F408" s="17" t="s">
        <v>164</v>
      </c>
      <c r="G408" s="19" t="s">
        <v>62</v>
      </c>
      <c r="H408" s="18">
        <v>5.86</v>
      </c>
      <c r="I408" s="17" t="s">
        <v>16</v>
      </c>
      <c r="J408" s="17" t="s">
        <v>15</v>
      </c>
      <c r="K408" s="17"/>
      <c r="L408" s="17"/>
      <c r="M408" s="16" t="str">
        <f>HYPERLINK("http://slimages.macys.com/is/image/MCY/19147143 ")</f>
        <v xml:space="preserve">http://slimages.macys.com/is/image/MCY/19147143 </v>
      </c>
      <c r="N408" s="30"/>
    </row>
    <row r="409" spans="1:14" ht="60" x14ac:dyDescent="0.25">
      <c r="A409" s="19" t="s">
        <v>6260</v>
      </c>
      <c r="B409" s="17" t="s">
        <v>6259</v>
      </c>
      <c r="C409" s="20">
        <v>2</v>
      </c>
      <c r="D409" s="18">
        <v>25</v>
      </c>
      <c r="E409" s="20" t="s">
        <v>180</v>
      </c>
      <c r="F409" s="17" t="s">
        <v>51</v>
      </c>
      <c r="G409" s="19" t="s">
        <v>22</v>
      </c>
      <c r="H409" s="18">
        <v>5.86</v>
      </c>
      <c r="I409" s="17" t="s">
        <v>16</v>
      </c>
      <c r="J409" s="17" t="s">
        <v>15</v>
      </c>
      <c r="K409" s="17"/>
      <c r="L409" s="17"/>
      <c r="M409" s="16" t="str">
        <f>HYPERLINK("http://slimages.macys.com/is/image/MCY/19146983 ")</f>
        <v xml:space="preserve">http://slimages.macys.com/is/image/MCY/19146983 </v>
      </c>
      <c r="N409" s="30"/>
    </row>
    <row r="410" spans="1:14" ht="60" x14ac:dyDescent="0.25">
      <c r="A410" s="19" t="s">
        <v>6258</v>
      </c>
      <c r="B410" s="17" t="s">
        <v>6257</v>
      </c>
      <c r="C410" s="20">
        <v>1</v>
      </c>
      <c r="D410" s="18">
        <v>25</v>
      </c>
      <c r="E410" s="20" t="s">
        <v>180</v>
      </c>
      <c r="F410" s="17" t="s">
        <v>51</v>
      </c>
      <c r="G410" s="19" t="s">
        <v>17</v>
      </c>
      <c r="H410" s="18">
        <v>5.86</v>
      </c>
      <c r="I410" s="17" t="s">
        <v>16</v>
      </c>
      <c r="J410" s="17" t="s">
        <v>15</v>
      </c>
      <c r="K410" s="17"/>
      <c r="L410" s="17"/>
      <c r="M410" s="16" t="str">
        <f>HYPERLINK("http://slimages.macys.com/is/image/MCY/19146983 ")</f>
        <v xml:space="preserve">http://slimages.macys.com/is/image/MCY/19146983 </v>
      </c>
      <c r="N410" s="30"/>
    </row>
    <row r="411" spans="1:14" ht="60" x14ac:dyDescent="0.25">
      <c r="A411" s="19" t="s">
        <v>6256</v>
      </c>
      <c r="B411" s="17" t="s">
        <v>6255</v>
      </c>
      <c r="C411" s="20">
        <v>4</v>
      </c>
      <c r="D411" s="18">
        <v>25</v>
      </c>
      <c r="E411" s="20" t="s">
        <v>180</v>
      </c>
      <c r="F411" s="17" t="s">
        <v>164</v>
      </c>
      <c r="G411" s="19" t="s">
        <v>101</v>
      </c>
      <c r="H411" s="18">
        <v>5.86</v>
      </c>
      <c r="I411" s="17" t="s">
        <v>16</v>
      </c>
      <c r="J411" s="17" t="s">
        <v>15</v>
      </c>
      <c r="K411" s="17"/>
      <c r="L411" s="17"/>
      <c r="M411" s="16" t="str">
        <f>HYPERLINK("http://slimages.macys.com/is/image/MCY/19146983 ")</f>
        <v xml:space="preserve">http://slimages.macys.com/is/image/MCY/19146983 </v>
      </c>
      <c r="N411" s="30"/>
    </row>
    <row r="412" spans="1:14" ht="60" x14ac:dyDescent="0.25">
      <c r="A412" s="19" t="s">
        <v>6254</v>
      </c>
      <c r="B412" s="17" t="s">
        <v>6253</v>
      </c>
      <c r="C412" s="20">
        <v>3</v>
      </c>
      <c r="D412" s="18">
        <v>25</v>
      </c>
      <c r="E412" s="20" t="s">
        <v>2482</v>
      </c>
      <c r="F412" s="17" t="s">
        <v>164</v>
      </c>
      <c r="G412" s="19" t="s">
        <v>17</v>
      </c>
      <c r="H412" s="18">
        <v>5.86</v>
      </c>
      <c r="I412" s="17" t="s">
        <v>16</v>
      </c>
      <c r="J412" s="17" t="s">
        <v>15</v>
      </c>
      <c r="K412" s="17"/>
      <c r="L412" s="17"/>
      <c r="M412" s="16" t="str">
        <f>HYPERLINK("http://slimages.macys.com/is/image/MCY/19147143 ")</f>
        <v xml:space="preserve">http://slimages.macys.com/is/image/MCY/19147143 </v>
      </c>
      <c r="N412" s="30"/>
    </row>
    <row r="413" spans="1:14" ht="60" x14ac:dyDescent="0.25">
      <c r="A413" s="19" t="s">
        <v>4903</v>
      </c>
      <c r="B413" s="17" t="s">
        <v>4902</v>
      </c>
      <c r="C413" s="20">
        <v>2</v>
      </c>
      <c r="D413" s="18">
        <v>25</v>
      </c>
      <c r="E413" s="20" t="s">
        <v>2482</v>
      </c>
      <c r="F413" s="17" t="s">
        <v>164</v>
      </c>
      <c r="G413" s="19" t="s">
        <v>101</v>
      </c>
      <c r="H413" s="18">
        <v>5.86</v>
      </c>
      <c r="I413" s="17" t="s">
        <v>16</v>
      </c>
      <c r="J413" s="17" t="s">
        <v>15</v>
      </c>
      <c r="K413" s="17"/>
      <c r="L413" s="17"/>
      <c r="M413" s="16" t="str">
        <f>HYPERLINK("http://slimages.macys.com/is/image/MCY/19147143 ")</f>
        <v xml:space="preserve">http://slimages.macys.com/is/image/MCY/19147143 </v>
      </c>
      <c r="N413" s="30"/>
    </row>
    <row r="414" spans="1:14" ht="60" x14ac:dyDescent="0.25">
      <c r="A414" s="19" t="s">
        <v>6252</v>
      </c>
      <c r="B414" s="17" t="s">
        <v>6251</v>
      </c>
      <c r="C414" s="20">
        <v>2</v>
      </c>
      <c r="D414" s="18">
        <v>25</v>
      </c>
      <c r="E414" s="20" t="s">
        <v>2482</v>
      </c>
      <c r="F414" s="17" t="s">
        <v>164</v>
      </c>
      <c r="G414" s="19" t="s">
        <v>22</v>
      </c>
      <c r="H414" s="18">
        <v>5.86</v>
      </c>
      <c r="I414" s="17" t="s">
        <v>16</v>
      </c>
      <c r="J414" s="17" t="s">
        <v>15</v>
      </c>
      <c r="K414" s="17"/>
      <c r="L414" s="17"/>
      <c r="M414" s="16" t="str">
        <f>HYPERLINK("http://slimages.macys.com/is/image/MCY/19147143 ")</f>
        <v xml:space="preserve">http://slimages.macys.com/is/image/MCY/19147143 </v>
      </c>
      <c r="N414" s="30"/>
    </row>
    <row r="415" spans="1:14" ht="60" x14ac:dyDescent="0.25">
      <c r="A415" s="19" t="s">
        <v>972</v>
      </c>
      <c r="B415" s="17" t="s">
        <v>971</v>
      </c>
      <c r="C415" s="20">
        <v>1</v>
      </c>
      <c r="D415" s="18">
        <v>25</v>
      </c>
      <c r="E415" s="20" t="s">
        <v>968</v>
      </c>
      <c r="F415" s="17" t="s">
        <v>508</v>
      </c>
      <c r="G415" s="19" t="s">
        <v>22</v>
      </c>
      <c r="H415" s="18">
        <v>5.8533333333333335</v>
      </c>
      <c r="I415" s="17" t="s">
        <v>16</v>
      </c>
      <c r="J415" s="17" t="s">
        <v>15</v>
      </c>
      <c r="K415" s="17"/>
      <c r="L415" s="17"/>
      <c r="M415" s="16" t="str">
        <f>HYPERLINK("http://slimages.macys.com/is/image/MCY/18863498 ")</f>
        <v xml:space="preserve">http://slimages.macys.com/is/image/MCY/18863498 </v>
      </c>
      <c r="N415" s="30"/>
    </row>
    <row r="416" spans="1:14" ht="60" x14ac:dyDescent="0.25">
      <c r="A416" s="19" t="s">
        <v>6250</v>
      </c>
      <c r="B416" s="17" t="s">
        <v>6249</v>
      </c>
      <c r="C416" s="20">
        <v>1</v>
      </c>
      <c r="D416" s="18">
        <v>25</v>
      </c>
      <c r="E416" s="20" t="s">
        <v>2466</v>
      </c>
      <c r="F416" s="17" t="s">
        <v>85</v>
      </c>
      <c r="G416" s="19" t="s">
        <v>62</v>
      </c>
      <c r="H416" s="18">
        <v>5.8533333333333335</v>
      </c>
      <c r="I416" s="17" t="s">
        <v>16</v>
      </c>
      <c r="J416" s="17" t="s">
        <v>15</v>
      </c>
      <c r="K416" s="17"/>
      <c r="L416" s="17"/>
      <c r="M416" s="16" t="str">
        <f>HYPERLINK("http://slimages.macys.com/is/image/MCY/18520742 ")</f>
        <v xml:space="preserve">http://slimages.macys.com/is/image/MCY/18520742 </v>
      </c>
      <c r="N416" s="30"/>
    </row>
    <row r="417" spans="1:14" ht="60" x14ac:dyDescent="0.25">
      <c r="A417" s="19" t="s">
        <v>4899</v>
      </c>
      <c r="B417" s="17" t="s">
        <v>4898</v>
      </c>
      <c r="C417" s="20">
        <v>1</v>
      </c>
      <c r="D417" s="18">
        <v>25</v>
      </c>
      <c r="E417" s="20" t="s">
        <v>2466</v>
      </c>
      <c r="F417" s="17" t="s">
        <v>85</v>
      </c>
      <c r="G417" s="19" t="s">
        <v>50</v>
      </c>
      <c r="H417" s="18">
        <v>5.8533333333333335</v>
      </c>
      <c r="I417" s="17" t="s">
        <v>16</v>
      </c>
      <c r="J417" s="17" t="s">
        <v>15</v>
      </c>
      <c r="K417" s="17"/>
      <c r="L417" s="17"/>
      <c r="M417" s="16" t="str">
        <f>HYPERLINK("http://slimages.macys.com/is/image/MCY/18520742 ")</f>
        <v xml:space="preserve">http://slimages.macys.com/is/image/MCY/18520742 </v>
      </c>
      <c r="N417" s="30"/>
    </row>
    <row r="418" spans="1:14" ht="60" x14ac:dyDescent="0.25">
      <c r="A418" s="19" t="s">
        <v>6248</v>
      </c>
      <c r="B418" s="17" t="s">
        <v>6247</v>
      </c>
      <c r="C418" s="20">
        <v>1</v>
      </c>
      <c r="D418" s="18">
        <v>24.99</v>
      </c>
      <c r="E418" s="20" t="s">
        <v>6246</v>
      </c>
      <c r="F418" s="17" t="s">
        <v>63</v>
      </c>
      <c r="G418" s="19" t="s">
        <v>69</v>
      </c>
      <c r="H418" s="18">
        <v>5.8</v>
      </c>
      <c r="I418" s="17" t="s">
        <v>42</v>
      </c>
      <c r="J418" s="17" t="s">
        <v>41</v>
      </c>
      <c r="K418" s="17"/>
      <c r="L418" s="17"/>
      <c r="M418" s="16" t="str">
        <f>HYPERLINK("http://slimages.macys.com/is/image/MCY/17557708 ")</f>
        <v xml:space="preserve">http://slimages.macys.com/is/image/MCY/17557708 </v>
      </c>
      <c r="N418" s="30"/>
    </row>
    <row r="419" spans="1:14" ht="60" x14ac:dyDescent="0.25">
      <c r="A419" s="19" t="s">
        <v>6245</v>
      </c>
      <c r="B419" s="17" t="s">
        <v>6244</v>
      </c>
      <c r="C419" s="20">
        <v>1</v>
      </c>
      <c r="D419" s="18">
        <v>30</v>
      </c>
      <c r="E419" s="20" t="s">
        <v>6243</v>
      </c>
      <c r="F419" s="17" t="s">
        <v>23</v>
      </c>
      <c r="G419" s="19" t="s">
        <v>50</v>
      </c>
      <c r="H419" s="18">
        <v>5.7333333333333334</v>
      </c>
      <c r="I419" s="17" t="s">
        <v>16</v>
      </c>
      <c r="J419" s="17" t="s">
        <v>15</v>
      </c>
      <c r="K419" s="17" t="s">
        <v>389</v>
      </c>
      <c r="L419" s="17" t="s">
        <v>1129</v>
      </c>
      <c r="M419" s="16" t="str">
        <f>HYPERLINK("http://slimages.macys.com/is/image/MCY/12073424 ")</f>
        <v xml:space="preserve">http://slimages.macys.com/is/image/MCY/12073424 </v>
      </c>
      <c r="N419" s="30"/>
    </row>
    <row r="420" spans="1:14" ht="60" x14ac:dyDescent="0.25">
      <c r="A420" s="19" t="s">
        <v>6242</v>
      </c>
      <c r="B420" s="17" t="s">
        <v>6241</v>
      </c>
      <c r="C420" s="20">
        <v>1</v>
      </c>
      <c r="D420" s="18">
        <v>24.5</v>
      </c>
      <c r="E420" s="20" t="s">
        <v>6240</v>
      </c>
      <c r="F420" s="17" t="s">
        <v>28</v>
      </c>
      <c r="G420" s="19" t="s">
        <v>139</v>
      </c>
      <c r="H420" s="18">
        <v>5.7333333333333334</v>
      </c>
      <c r="I420" s="17" t="s">
        <v>1891</v>
      </c>
      <c r="J420" s="17" t="s">
        <v>67</v>
      </c>
      <c r="K420" s="17" t="s">
        <v>389</v>
      </c>
      <c r="L420" s="17" t="s">
        <v>3264</v>
      </c>
      <c r="M420" s="16" t="str">
        <f>HYPERLINK("http://slimages.macys.com/is/image/MCY/8330385 ")</f>
        <v xml:space="preserve">http://slimages.macys.com/is/image/MCY/8330385 </v>
      </c>
      <c r="N420" s="30"/>
    </row>
    <row r="421" spans="1:14" ht="60" x14ac:dyDescent="0.25">
      <c r="A421" s="19" t="s">
        <v>6239</v>
      </c>
      <c r="B421" s="17" t="s">
        <v>6238</v>
      </c>
      <c r="C421" s="20">
        <v>1</v>
      </c>
      <c r="D421" s="18">
        <v>34</v>
      </c>
      <c r="E421" s="20" t="s">
        <v>6237</v>
      </c>
      <c r="F421" s="17" t="s">
        <v>70</v>
      </c>
      <c r="G421" s="19" t="s">
        <v>3206</v>
      </c>
      <c r="H421" s="18">
        <v>5.0666666666666673</v>
      </c>
      <c r="I421" s="17" t="s">
        <v>1700</v>
      </c>
      <c r="J421" s="17" t="s">
        <v>1699</v>
      </c>
      <c r="K421" s="17"/>
      <c r="L421" s="17"/>
      <c r="M421" s="16" t="str">
        <f>HYPERLINK("http://slimages.macys.com/is/image/MCY/18863486 ")</f>
        <v xml:space="preserve">http://slimages.macys.com/is/image/MCY/18863486 </v>
      </c>
      <c r="N421" s="30"/>
    </row>
    <row r="422" spans="1:14" ht="60" x14ac:dyDescent="0.25">
      <c r="A422" s="19" t="s">
        <v>3245</v>
      </c>
      <c r="B422" s="17" t="s">
        <v>3244</v>
      </c>
      <c r="C422" s="20">
        <v>1</v>
      </c>
      <c r="D422" s="18">
        <v>20</v>
      </c>
      <c r="E422" s="20" t="s">
        <v>2459</v>
      </c>
      <c r="F422" s="17" t="s">
        <v>85</v>
      </c>
      <c r="G422" s="19" t="s">
        <v>17</v>
      </c>
      <c r="H422" s="18">
        <v>4.9533333333333331</v>
      </c>
      <c r="I422" s="17" t="s">
        <v>16</v>
      </c>
      <c r="J422" s="17" t="s">
        <v>15</v>
      </c>
      <c r="K422" s="17"/>
      <c r="L422" s="17"/>
      <c r="M422" s="16" t="str">
        <f>HYPERLINK("http://slimages.macys.com/is/image/MCY/19147505 ")</f>
        <v xml:space="preserve">http://slimages.macys.com/is/image/MCY/19147505 </v>
      </c>
      <c r="N422" s="30"/>
    </row>
    <row r="423" spans="1:14" ht="60" x14ac:dyDescent="0.25">
      <c r="A423" s="19" t="s">
        <v>6236</v>
      </c>
      <c r="B423" s="17" t="s">
        <v>6235</v>
      </c>
      <c r="C423" s="20">
        <v>1</v>
      </c>
      <c r="D423" s="18">
        <v>20</v>
      </c>
      <c r="E423" s="20" t="s">
        <v>2459</v>
      </c>
      <c r="F423" s="17" t="s">
        <v>85</v>
      </c>
      <c r="G423" s="19" t="s">
        <v>62</v>
      </c>
      <c r="H423" s="18">
        <v>4.9533333333333331</v>
      </c>
      <c r="I423" s="17" t="s">
        <v>16</v>
      </c>
      <c r="J423" s="17" t="s">
        <v>15</v>
      </c>
      <c r="K423" s="17"/>
      <c r="L423" s="17"/>
      <c r="M423" s="16" t="str">
        <f>HYPERLINK("http://slimages.macys.com/is/image/MCY/19147505 ")</f>
        <v xml:space="preserve">http://slimages.macys.com/is/image/MCY/19147505 </v>
      </c>
      <c r="N423" s="30"/>
    </row>
    <row r="424" spans="1:14" ht="60" x14ac:dyDescent="0.25">
      <c r="A424" s="19" t="s">
        <v>3243</v>
      </c>
      <c r="B424" s="17" t="s">
        <v>3242</v>
      </c>
      <c r="C424" s="20">
        <v>1</v>
      </c>
      <c r="D424" s="18">
        <v>20</v>
      </c>
      <c r="E424" s="20" t="s">
        <v>2459</v>
      </c>
      <c r="F424" s="17" t="s">
        <v>85</v>
      </c>
      <c r="G424" s="19" t="s">
        <v>50</v>
      </c>
      <c r="H424" s="18">
        <v>4.9533333333333331</v>
      </c>
      <c r="I424" s="17" t="s">
        <v>16</v>
      </c>
      <c r="J424" s="17" t="s">
        <v>15</v>
      </c>
      <c r="K424" s="17"/>
      <c r="L424" s="17"/>
      <c r="M424" s="16" t="str">
        <f>HYPERLINK("http://slimages.macys.com/is/image/MCY/19147505 ")</f>
        <v xml:space="preserve">http://slimages.macys.com/is/image/MCY/19147505 </v>
      </c>
      <c r="N424" s="30"/>
    </row>
    <row r="425" spans="1:14" ht="60" x14ac:dyDescent="0.25">
      <c r="A425" s="19" t="s">
        <v>4154</v>
      </c>
      <c r="B425" s="17" t="s">
        <v>4153</v>
      </c>
      <c r="C425" s="20">
        <v>1</v>
      </c>
      <c r="D425" s="18">
        <v>26</v>
      </c>
      <c r="E425" s="20" t="s">
        <v>4152</v>
      </c>
      <c r="F425" s="17" t="s">
        <v>35</v>
      </c>
      <c r="G425" s="19" t="s">
        <v>197</v>
      </c>
      <c r="H425" s="18">
        <v>4.8533333333333335</v>
      </c>
      <c r="I425" s="17" t="s">
        <v>80</v>
      </c>
      <c r="J425" s="17" t="s">
        <v>183</v>
      </c>
      <c r="K425" s="17"/>
      <c r="L425" s="17"/>
      <c r="M425" s="16" t="str">
        <f>HYPERLINK("http://slimages.macys.com/is/image/MCY/19305506 ")</f>
        <v xml:space="preserve">http://slimages.macys.com/is/image/MCY/19305506 </v>
      </c>
      <c r="N425" s="30"/>
    </row>
    <row r="426" spans="1:14" ht="60" x14ac:dyDescent="0.25">
      <c r="A426" s="19" t="s">
        <v>6234</v>
      </c>
      <c r="B426" s="17" t="s">
        <v>6233</v>
      </c>
      <c r="C426" s="20">
        <v>2</v>
      </c>
      <c r="D426" s="18">
        <v>25</v>
      </c>
      <c r="E426" s="20" t="s">
        <v>165</v>
      </c>
      <c r="F426" s="17" t="s">
        <v>140</v>
      </c>
      <c r="G426" s="19" t="s">
        <v>17</v>
      </c>
      <c r="H426" s="18">
        <v>3.82</v>
      </c>
      <c r="I426" s="17" t="s">
        <v>16</v>
      </c>
      <c r="J426" s="17" t="s">
        <v>15</v>
      </c>
      <c r="K426" s="17"/>
      <c r="L426" s="17"/>
      <c r="M426" s="16" t="str">
        <f>HYPERLINK("http://slimages.macys.com/is/image/MCY/19146922 ")</f>
        <v xml:space="preserve">http://slimages.macys.com/is/image/MCY/19146922 </v>
      </c>
      <c r="N426" s="30"/>
    </row>
    <row r="427" spans="1:14" ht="60" x14ac:dyDescent="0.25">
      <c r="A427" s="19" t="s">
        <v>2454</v>
      </c>
      <c r="B427" s="17" t="s">
        <v>2453</v>
      </c>
      <c r="C427" s="20">
        <v>1</v>
      </c>
      <c r="D427" s="18">
        <v>25</v>
      </c>
      <c r="E427" s="20" t="s">
        <v>165</v>
      </c>
      <c r="F427" s="17" t="s">
        <v>140</v>
      </c>
      <c r="G427" s="19" t="s">
        <v>62</v>
      </c>
      <c r="H427" s="18">
        <v>3.82</v>
      </c>
      <c r="I427" s="17" t="s">
        <v>16</v>
      </c>
      <c r="J427" s="17" t="s">
        <v>15</v>
      </c>
      <c r="K427" s="17"/>
      <c r="L427" s="17"/>
      <c r="M427" s="16" t="str">
        <f>HYPERLINK("http://slimages.macys.com/is/image/MCY/19146922 ")</f>
        <v xml:space="preserve">http://slimages.macys.com/is/image/MCY/19146922 </v>
      </c>
      <c r="N427" s="30"/>
    </row>
    <row r="428" spans="1:14" ht="60" x14ac:dyDescent="0.25">
      <c r="A428" s="19" t="s">
        <v>6232</v>
      </c>
      <c r="B428" s="17" t="s">
        <v>6231</v>
      </c>
      <c r="C428" s="20">
        <v>1</v>
      </c>
      <c r="D428" s="18">
        <v>25</v>
      </c>
      <c r="E428" s="20" t="s">
        <v>165</v>
      </c>
      <c r="F428" s="17" t="s">
        <v>558</v>
      </c>
      <c r="G428" s="19" t="s">
        <v>101</v>
      </c>
      <c r="H428" s="18">
        <v>3.82</v>
      </c>
      <c r="I428" s="17" t="s">
        <v>16</v>
      </c>
      <c r="J428" s="17" t="s">
        <v>15</v>
      </c>
      <c r="K428" s="17"/>
      <c r="L428" s="17"/>
      <c r="M428" s="16" t="str">
        <f>HYPERLINK("http://slimages.macys.com/is/image/MCY/19146922 ")</f>
        <v xml:space="preserve">http://slimages.macys.com/is/image/MCY/19146922 </v>
      </c>
      <c r="N428" s="30"/>
    </row>
    <row r="429" spans="1:14" ht="60" x14ac:dyDescent="0.25">
      <c r="A429" s="19" t="s">
        <v>6230</v>
      </c>
      <c r="B429" s="17" t="s">
        <v>6229</v>
      </c>
      <c r="C429" s="20">
        <v>1</v>
      </c>
      <c r="D429" s="18">
        <v>25</v>
      </c>
      <c r="E429" s="20" t="s">
        <v>165</v>
      </c>
      <c r="F429" s="17" t="s">
        <v>558</v>
      </c>
      <c r="G429" s="19" t="s">
        <v>22</v>
      </c>
      <c r="H429" s="18">
        <v>3.82</v>
      </c>
      <c r="I429" s="17" t="s">
        <v>16</v>
      </c>
      <c r="J429" s="17" t="s">
        <v>15</v>
      </c>
      <c r="K429" s="17"/>
      <c r="L429" s="17"/>
      <c r="M429" s="16" t="str">
        <f>HYPERLINK("http://slimages.macys.com/is/image/MCY/19146922 ")</f>
        <v xml:space="preserve">http://slimages.macys.com/is/image/MCY/19146922 </v>
      </c>
      <c r="N429" s="30"/>
    </row>
    <row r="430" spans="1:14" ht="48" x14ac:dyDescent="0.25">
      <c r="A430" s="19" t="s">
        <v>6228</v>
      </c>
      <c r="B430" s="17" t="s">
        <v>6227</v>
      </c>
      <c r="C430" s="20">
        <v>1</v>
      </c>
      <c r="D430" s="18">
        <v>148</v>
      </c>
      <c r="E430" s="20" t="s">
        <v>6226</v>
      </c>
      <c r="F430" s="17" t="s">
        <v>85</v>
      </c>
      <c r="G430" s="19" t="s">
        <v>96</v>
      </c>
      <c r="H430" s="18">
        <v>31.373333333333338</v>
      </c>
      <c r="I430" s="17" t="s">
        <v>115</v>
      </c>
      <c r="J430" s="17" t="s">
        <v>653</v>
      </c>
      <c r="K430" s="17"/>
      <c r="L430" s="17"/>
      <c r="M430" s="16"/>
      <c r="N430" s="30"/>
    </row>
    <row r="431" spans="1:14" ht="48" x14ac:dyDescent="0.25">
      <c r="A431" s="19" t="s">
        <v>6225</v>
      </c>
      <c r="B431" s="17" t="s">
        <v>3154</v>
      </c>
      <c r="C431" s="20">
        <v>1</v>
      </c>
      <c r="D431" s="18">
        <v>79.5</v>
      </c>
      <c r="E431" s="20" t="s">
        <v>3153</v>
      </c>
      <c r="F431" s="17" t="s">
        <v>23</v>
      </c>
      <c r="G431" s="19" t="s">
        <v>139</v>
      </c>
      <c r="H431" s="18">
        <v>14.973333333333334</v>
      </c>
      <c r="I431" s="17" t="s">
        <v>1891</v>
      </c>
      <c r="J431" s="17" t="s">
        <v>2435</v>
      </c>
      <c r="K431" s="17"/>
      <c r="L431" s="17"/>
      <c r="M431" s="16"/>
      <c r="N431" s="30"/>
    </row>
    <row r="432" spans="1:14" ht="48" x14ac:dyDescent="0.25">
      <c r="A432" s="19" t="s">
        <v>6224</v>
      </c>
      <c r="B432" s="17" t="s">
        <v>3154</v>
      </c>
      <c r="C432" s="20">
        <v>1</v>
      </c>
      <c r="D432" s="18">
        <v>79.5</v>
      </c>
      <c r="E432" s="20" t="s">
        <v>3153</v>
      </c>
      <c r="F432" s="17" t="s">
        <v>23</v>
      </c>
      <c r="G432" s="19"/>
      <c r="H432" s="18">
        <v>14.973333333333334</v>
      </c>
      <c r="I432" s="17" t="s">
        <v>1891</v>
      </c>
      <c r="J432" s="17" t="s">
        <v>2435</v>
      </c>
      <c r="K432" s="17"/>
      <c r="L432" s="17"/>
      <c r="M432" s="16"/>
      <c r="N432" s="30"/>
    </row>
    <row r="433" spans="1:14" ht="48" x14ac:dyDescent="0.25">
      <c r="A433" s="19" t="s">
        <v>826</v>
      </c>
      <c r="B433" s="17" t="s">
        <v>825</v>
      </c>
      <c r="C433" s="20">
        <v>2</v>
      </c>
      <c r="D433" s="18">
        <v>79</v>
      </c>
      <c r="E433" s="20" t="s">
        <v>824</v>
      </c>
      <c r="F433" s="17" t="s">
        <v>575</v>
      </c>
      <c r="G433" s="19" t="s">
        <v>74</v>
      </c>
      <c r="H433" s="18">
        <v>14.746666666666668</v>
      </c>
      <c r="I433" s="17" t="s">
        <v>820</v>
      </c>
      <c r="J433" s="17" t="s">
        <v>67</v>
      </c>
      <c r="K433" s="17"/>
      <c r="L433" s="17"/>
      <c r="M433" s="16"/>
      <c r="N433" s="30"/>
    </row>
    <row r="434" spans="1:14" ht="48" x14ac:dyDescent="0.25">
      <c r="A434" s="19" t="s">
        <v>6223</v>
      </c>
      <c r="B434" s="17" t="s">
        <v>6222</v>
      </c>
      <c r="C434" s="20">
        <v>1</v>
      </c>
      <c r="D434" s="18">
        <v>55.3</v>
      </c>
      <c r="E434" s="20" t="s">
        <v>1631</v>
      </c>
      <c r="F434" s="17" t="s">
        <v>58</v>
      </c>
      <c r="G434" s="19" t="s">
        <v>43</v>
      </c>
      <c r="H434" s="18">
        <v>14.426666666666668</v>
      </c>
      <c r="I434" s="17" t="s">
        <v>42</v>
      </c>
      <c r="J434" s="17" t="s">
        <v>41</v>
      </c>
      <c r="K434" s="17"/>
      <c r="L434" s="17"/>
      <c r="M434" s="16"/>
      <c r="N434" s="30"/>
    </row>
    <row r="435" spans="1:14" ht="48" x14ac:dyDescent="0.25">
      <c r="A435" s="19" t="s">
        <v>6221</v>
      </c>
      <c r="B435" s="17" t="s">
        <v>6220</v>
      </c>
      <c r="C435" s="20">
        <v>1</v>
      </c>
      <c r="D435" s="18">
        <v>62.3</v>
      </c>
      <c r="E435" s="20" t="s">
        <v>86</v>
      </c>
      <c r="F435" s="17" t="s">
        <v>85</v>
      </c>
      <c r="G435" s="19" t="s">
        <v>419</v>
      </c>
      <c r="H435" s="18">
        <v>12.6</v>
      </c>
      <c r="I435" s="17" t="s">
        <v>42</v>
      </c>
      <c r="J435" s="17" t="s">
        <v>41</v>
      </c>
      <c r="K435" s="17"/>
      <c r="L435" s="17"/>
      <c r="M435" s="16"/>
      <c r="N435" s="30"/>
    </row>
    <row r="436" spans="1:14" ht="48" x14ac:dyDescent="0.25">
      <c r="A436" s="19" t="s">
        <v>6219</v>
      </c>
      <c r="B436" s="17" t="s">
        <v>6218</v>
      </c>
      <c r="C436" s="20">
        <v>1</v>
      </c>
      <c r="D436" s="18">
        <v>62.3</v>
      </c>
      <c r="E436" s="20" t="s">
        <v>86</v>
      </c>
      <c r="F436" s="17" t="s">
        <v>85</v>
      </c>
      <c r="G436" s="19"/>
      <c r="H436" s="18">
        <v>12.6</v>
      </c>
      <c r="I436" s="17" t="s">
        <v>42</v>
      </c>
      <c r="J436" s="17" t="s">
        <v>41</v>
      </c>
      <c r="K436" s="17"/>
      <c r="L436" s="17"/>
      <c r="M436" s="16"/>
      <c r="N436" s="30"/>
    </row>
    <row r="437" spans="1:14" ht="36" x14ac:dyDescent="0.25">
      <c r="A437" s="19" t="s">
        <v>6217</v>
      </c>
      <c r="B437" s="17" t="s">
        <v>2440</v>
      </c>
      <c r="C437" s="20">
        <v>1</v>
      </c>
      <c r="D437" s="18">
        <v>89</v>
      </c>
      <c r="E437" s="20" t="s">
        <v>2439</v>
      </c>
      <c r="F437" s="17" t="s">
        <v>51</v>
      </c>
      <c r="G437" s="19" t="s">
        <v>857</v>
      </c>
      <c r="H437" s="18">
        <v>11.866666666666667</v>
      </c>
      <c r="I437" s="17" t="s">
        <v>678</v>
      </c>
      <c r="J437" s="17" t="s">
        <v>404</v>
      </c>
      <c r="K437" s="17"/>
      <c r="L437" s="17"/>
      <c r="M437" s="16"/>
      <c r="N437" s="30"/>
    </row>
    <row r="438" spans="1:14" ht="48" x14ac:dyDescent="0.25">
      <c r="A438" s="19" t="s">
        <v>6216</v>
      </c>
      <c r="B438" s="17" t="s">
        <v>6215</v>
      </c>
      <c r="C438" s="20">
        <v>1</v>
      </c>
      <c r="D438" s="18">
        <v>59.5</v>
      </c>
      <c r="E438" s="20" t="s">
        <v>6214</v>
      </c>
      <c r="F438" s="17" t="s">
        <v>206</v>
      </c>
      <c r="G438" s="19" t="s">
        <v>74</v>
      </c>
      <c r="H438" s="18">
        <v>11.2</v>
      </c>
      <c r="I438" s="17" t="s">
        <v>56</v>
      </c>
      <c r="J438" s="17" t="s">
        <v>55</v>
      </c>
      <c r="K438" s="17"/>
      <c r="L438" s="17"/>
      <c r="M438" s="16"/>
      <c r="N438" s="30"/>
    </row>
    <row r="439" spans="1:14" ht="48" x14ac:dyDescent="0.25">
      <c r="A439" s="19" t="s">
        <v>6213</v>
      </c>
      <c r="B439" s="17" t="s">
        <v>6212</v>
      </c>
      <c r="C439" s="20">
        <v>1</v>
      </c>
      <c r="D439" s="18">
        <v>41.3</v>
      </c>
      <c r="E439" s="20" t="s">
        <v>6211</v>
      </c>
      <c r="F439" s="17" t="s">
        <v>58</v>
      </c>
      <c r="G439" s="19" t="s">
        <v>69</v>
      </c>
      <c r="H439" s="18">
        <v>10.780000000000001</v>
      </c>
      <c r="I439" s="17" t="s">
        <v>42</v>
      </c>
      <c r="J439" s="17" t="s">
        <v>41</v>
      </c>
      <c r="K439" s="17"/>
      <c r="L439" s="17"/>
      <c r="M439" s="16"/>
      <c r="N439" s="30"/>
    </row>
    <row r="440" spans="1:14" ht="60" x14ac:dyDescent="0.25">
      <c r="A440" s="19" t="s">
        <v>4128</v>
      </c>
      <c r="B440" s="17" t="s">
        <v>4127</v>
      </c>
      <c r="C440" s="20">
        <v>14</v>
      </c>
      <c r="D440" s="18">
        <v>49.5</v>
      </c>
      <c r="E440" s="20" t="s">
        <v>3117</v>
      </c>
      <c r="F440" s="17" t="s">
        <v>23</v>
      </c>
      <c r="G440" s="19" t="s">
        <v>69</v>
      </c>
      <c r="H440" s="18">
        <v>9.9733333333333345</v>
      </c>
      <c r="I440" s="17" t="s">
        <v>106</v>
      </c>
      <c r="J440" s="17" t="s">
        <v>105</v>
      </c>
      <c r="K440" s="17"/>
      <c r="L440" s="17"/>
      <c r="M440" s="16"/>
      <c r="N440" s="30"/>
    </row>
    <row r="441" spans="1:14" ht="48" x14ac:dyDescent="0.25">
      <c r="A441" s="19" t="s">
        <v>6210</v>
      </c>
      <c r="B441" s="17" t="s">
        <v>6209</v>
      </c>
      <c r="C441" s="20">
        <v>1</v>
      </c>
      <c r="D441" s="18">
        <v>49.5</v>
      </c>
      <c r="E441" s="20" t="s">
        <v>6208</v>
      </c>
      <c r="F441" s="17" t="s">
        <v>91</v>
      </c>
      <c r="G441" s="19" t="s">
        <v>351</v>
      </c>
      <c r="H441" s="18">
        <v>9.32</v>
      </c>
      <c r="I441" s="17" t="s">
        <v>1891</v>
      </c>
      <c r="J441" s="17" t="s">
        <v>2435</v>
      </c>
      <c r="K441" s="17"/>
      <c r="L441" s="17"/>
      <c r="M441" s="16"/>
      <c r="N441" s="30"/>
    </row>
    <row r="442" spans="1:14" ht="48" x14ac:dyDescent="0.25">
      <c r="A442" s="19" t="s">
        <v>6207</v>
      </c>
      <c r="B442" s="17" t="s">
        <v>6206</v>
      </c>
      <c r="C442" s="20">
        <v>1</v>
      </c>
      <c r="D442" s="18">
        <v>49.5</v>
      </c>
      <c r="E442" s="20" t="s">
        <v>6205</v>
      </c>
      <c r="F442" s="17" t="s">
        <v>206</v>
      </c>
      <c r="G442" s="19" t="s">
        <v>271</v>
      </c>
      <c r="H442" s="18">
        <v>9.32</v>
      </c>
      <c r="I442" s="17" t="s">
        <v>1891</v>
      </c>
      <c r="J442" s="17" t="s">
        <v>2435</v>
      </c>
      <c r="K442" s="17"/>
      <c r="L442" s="17"/>
      <c r="M442" s="16"/>
      <c r="N442" s="30"/>
    </row>
    <row r="443" spans="1:14" ht="48" x14ac:dyDescent="0.25">
      <c r="A443" s="19" t="s">
        <v>6204</v>
      </c>
      <c r="B443" s="17" t="s">
        <v>6203</v>
      </c>
      <c r="C443" s="20">
        <v>1</v>
      </c>
      <c r="D443" s="18">
        <v>34.299999999999997</v>
      </c>
      <c r="E443" s="20" t="s">
        <v>1617</v>
      </c>
      <c r="F443" s="17" t="s">
        <v>58</v>
      </c>
      <c r="G443" s="19" t="s">
        <v>43</v>
      </c>
      <c r="H443" s="18">
        <v>8.9466666666666672</v>
      </c>
      <c r="I443" s="17" t="s">
        <v>42</v>
      </c>
      <c r="J443" s="17" t="s">
        <v>41</v>
      </c>
      <c r="K443" s="17"/>
      <c r="L443" s="17"/>
      <c r="M443" s="16"/>
      <c r="N443" s="30"/>
    </row>
    <row r="444" spans="1:14" ht="48" x14ac:dyDescent="0.25">
      <c r="A444" s="19" t="s">
        <v>1619</v>
      </c>
      <c r="B444" s="17" t="s">
        <v>1618</v>
      </c>
      <c r="C444" s="20">
        <v>1</v>
      </c>
      <c r="D444" s="18">
        <v>34.299999999999997</v>
      </c>
      <c r="E444" s="20" t="s">
        <v>1617</v>
      </c>
      <c r="F444" s="17" t="s">
        <v>58</v>
      </c>
      <c r="G444" s="19" t="s">
        <v>62</v>
      </c>
      <c r="H444" s="18">
        <v>8.9466666666666672</v>
      </c>
      <c r="I444" s="17" t="s">
        <v>42</v>
      </c>
      <c r="J444" s="17" t="s">
        <v>41</v>
      </c>
      <c r="K444" s="17"/>
      <c r="L444" s="17"/>
      <c r="M444" s="16"/>
      <c r="N444" s="30"/>
    </row>
    <row r="445" spans="1:14" ht="48" x14ac:dyDescent="0.25">
      <c r="A445" s="19" t="s">
        <v>2429</v>
      </c>
      <c r="B445" s="17" t="s">
        <v>2428</v>
      </c>
      <c r="C445" s="20">
        <v>7</v>
      </c>
      <c r="D445" s="18">
        <v>34.299999999999997</v>
      </c>
      <c r="E445" s="20" t="s">
        <v>45</v>
      </c>
      <c r="F445" s="17" t="s">
        <v>339</v>
      </c>
      <c r="G445" s="19" t="s">
        <v>43</v>
      </c>
      <c r="H445" s="18">
        <v>7.8133333333333335</v>
      </c>
      <c r="I445" s="17" t="s">
        <v>42</v>
      </c>
      <c r="J445" s="17" t="s">
        <v>41</v>
      </c>
      <c r="K445" s="17"/>
      <c r="L445" s="17"/>
      <c r="M445" s="16"/>
      <c r="N445" s="30"/>
    </row>
    <row r="446" spans="1:14" ht="36" x14ac:dyDescent="0.25">
      <c r="A446" s="19" t="s">
        <v>5412</v>
      </c>
      <c r="B446" s="17" t="s">
        <v>5411</v>
      </c>
      <c r="C446" s="20">
        <v>1</v>
      </c>
      <c r="D446" s="18">
        <v>25</v>
      </c>
      <c r="E446" s="20" t="s">
        <v>5410</v>
      </c>
      <c r="F446" s="17" t="s">
        <v>35</v>
      </c>
      <c r="G446" s="19" t="s">
        <v>57</v>
      </c>
      <c r="H446" s="18">
        <v>6</v>
      </c>
      <c r="I446" s="17" t="s">
        <v>80</v>
      </c>
      <c r="J446" s="17" t="s">
        <v>187</v>
      </c>
      <c r="K446" s="17"/>
      <c r="L446" s="17"/>
      <c r="M446" s="16"/>
      <c r="N446" s="30"/>
    </row>
    <row r="447" spans="1:14" ht="36" x14ac:dyDescent="0.25">
      <c r="A447" s="19" t="s">
        <v>6202</v>
      </c>
      <c r="B447" s="17" t="s">
        <v>6201</v>
      </c>
      <c r="C447" s="20">
        <v>1</v>
      </c>
      <c r="D447" s="18">
        <v>25</v>
      </c>
      <c r="E447" s="20" t="s">
        <v>29</v>
      </c>
      <c r="F447" s="17" t="s">
        <v>28</v>
      </c>
      <c r="G447" s="19" t="s">
        <v>22</v>
      </c>
      <c r="H447" s="18">
        <v>5.8533333333333335</v>
      </c>
      <c r="I447" s="17" t="s">
        <v>16</v>
      </c>
      <c r="J447" s="17" t="s">
        <v>15</v>
      </c>
      <c r="K447" s="17"/>
      <c r="L447" s="17"/>
      <c r="M447" s="16"/>
      <c r="N447" s="30"/>
    </row>
  </sheetData>
  <pageMargins left="0.5" right="0.5" top="0.25" bottom="0.25" header="0.3" footer="0.3"/>
  <pageSetup scale="65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457"/>
  <sheetViews>
    <sheetView workbookViewId="0">
      <selection activeCell="K2" sqref="K2"/>
    </sheetView>
  </sheetViews>
  <sheetFormatPr defaultRowHeight="15" x14ac:dyDescent="0.25"/>
  <cols>
    <col min="1" max="1" width="14.140625" style="15" bestFit="1" customWidth="1"/>
    <col min="2" max="2" width="51.42578125" style="15" customWidth="1"/>
    <col min="3" max="3" width="12.42578125" style="15" bestFit="1" customWidth="1"/>
    <col min="4" max="4" width="8.7109375" style="15" bestFit="1" customWidth="1"/>
    <col min="5" max="5" width="17.28515625" style="15" bestFit="1" customWidth="1"/>
    <col min="6" max="6" width="13.28515625" style="15" bestFit="1" customWidth="1"/>
    <col min="7" max="7" width="10.28515625" style="15" customWidth="1"/>
    <col min="8" max="8" width="11.7109375" style="15" bestFit="1" customWidth="1"/>
    <col min="9" max="11" width="11.42578125" style="15" customWidth="1"/>
    <col min="12" max="12" width="10.85546875" style="15" bestFit="1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4" ht="36" x14ac:dyDescent="0.25">
      <c r="A1" s="45" t="s">
        <v>2</v>
      </c>
      <c r="B1" s="45" t="s">
        <v>3</v>
      </c>
      <c r="C1" s="45" t="s">
        <v>5</v>
      </c>
      <c r="D1" s="45" t="s">
        <v>817</v>
      </c>
      <c r="E1" s="45" t="s">
        <v>7</v>
      </c>
      <c r="F1" s="45" t="s">
        <v>816</v>
      </c>
      <c r="G1" s="45" t="s">
        <v>815</v>
      </c>
      <c r="H1" s="45" t="s">
        <v>814</v>
      </c>
      <c r="I1" s="45" t="s">
        <v>10</v>
      </c>
      <c r="J1" s="45"/>
      <c r="K1" s="45"/>
    </row>
    <row r="2" spans="1:14" ht="36" x14ac:dyDescent="0.25">
      <c r="A2" s="17" t="s">
        <v>14</v>
      </c>
      <c r="B2" s="32">
        <v>13924835</v>
      </c>
      <c r="C2" s="17" t="s">
        <v>11</v>
      </c>
      <c r="D2" s="17" t="s">
        <v>813</v>
      </c>
      <c r="E2" s="20">
        <v>1</v>
      </c>
      <c r="F2" s="20">
        <v>4</v>
      </c>
      <c r="G2" s="17">
        <v>566</v>
      </c>
      <c r="H2" s="18">
        <v>53734.41</v>
      </c>
      <c r="I2" s="17">
        <v>719</v>
      </c>
      <c r="J2" s="33"/>
      <c r="K2" s="33"/>
      <c r="L2" s="30"/>
      <c r="M2" s="30"/>
    </row>
    <row r="3" spans="1:14" x14ac:dyDescent="0.25">
      <c r="A3" s="23"/>
      <c r="B3" s="25"/>
      <c r="C3" s="23"/>
      <c r="D3" s="23"/>
      <c r="E3" s="25"/>
      <c r="F3" s="25"/>
      <c r="G3" s="23"/>
      <c r="H3" s="22"/>
      <c r="I3" s="23"/>
      <c r="J3" s="22"/>
      <c r="K3" s="22"/>
    </row>
    <row r="4" spans="1:14" s="21" customFormat="1" x14ac:dyDescent="0.25"/>
    <row r="5" spans="1:14" x14ac:dyDescent="0.25">
      <c r="A5" s="1"/>
      <c r="B5" s="1"/>
      <c r="C5" s="1"/>
      <c r="D5" s="1"/>
    </row>
    <row r="6" spans="1:14" x14ac:dyDescent="0.25">
      <c r="A6" s="24"/>
      <c r="B6" s="23"/>
      <c r="C6" s="22"/>
      <c r="D6" s="22"/>
    </row>
    <row r="7" spans="1:14" s="21" customFormat="1" x14ac:dyDescent="0.25"/>
    <row r="8" spans="1:14" ht="24" x14ac:dyDescent="0.25">
      <c r="A8" s="45" t="s">
        <v>812</v>
      </c>
      <c r="B8" s="45" t="s">
        <v>811</v>
      </c>
      <c r="C8" s="45" t="s">
        <v>810</v>
      </c>
      <c r="D8" s="45" t="s">
        <v>9</v>
      </c>
      <c r="E8" s="45" t="s">
        <v>809</v>
      </c>
      <c r="F8" s="45" t="s">
        <v>808</v>
      </c>
      <c r="G8" s="45" t="s">
        <v>807</v>
      </c>
      <c r="H8" s="45" t="s">
        <v>806</v>
      </c>
      <c r="I8" s="45" t="s">
        <v>805</v>
      </c>
      <c r="J8" s="45" t="s">
        <v>804</v>
      </c>
      <c r="K8" s="45" t="s">
        <v>803</v>
      </c>
      <c r="L8" s="45" t="s">
        <v>802</v>
      </c>
      <c r="M8" s="45" t="s">
        <v>801</v>
      </c>
    </row>
    <row r="9" spans="1:14" ht="60" x14ac:dyDescent="0.25">
      <c r="A9" s="19" t="s">
        <v>4122</v>
      </c>
      <c r="B9" s="17" t="s">
        <v>4121</v>
      </c>
      <c r="C9" s="20">
        <v>1</v>
      </c>
      <c r="D9" s="18">
        <v>358</v>
      </c>
      <c r="E9" s="20" t="s">
        <v>4120</v>
      </c>
      <c r="F9" s="17" t="s">
        <v>51</v>
      </c>
      <c r="G9" s="19" t="s">
        <v>197</v>
      </c>
      <c r="H9" s="18">
        <v>112.73333333333333</v>
      </c>
      <c r="I9" s="17" t="s">
        <v>153</v>
      </c>
      <c r="J9" s="17" t="s">
        <v>153</v>
      </c>
      <c r="K9" s="17"/>
      <c r="L9" s="17"/>
      <c r="M9" s="16" t="str">
        <f>HYPERLINK("http://slimages.macys.com/is/image/MCY/18011100 ")</f>
        <v xml:space="preserve">http://slimages.macys.com/is/image/MCY/18011100 </v>
      </c>
      <c r="N9" s="30"/>
    </row>
    <row r="10" spans="1:14" ht="60" x14ac:dyDescent="0.25">
      <c r="A10" s="19" t="s">
        <v>7850</v>
      </c>
      <c r="B10" s="17" t="s">
        <v>7849</v>
      </c>
      <c r="C10" s="20">
        <v>1</v>
      </c>
      <c r="D10" s="18">
        <v>275</v>
      </c>
      <c r="E10" s="20">
        <v>536614196000060</v>
      </c>
      <c r="F10" s="17" t="s">
        <v>63</v>
      </c>
      <c r="G10" s="19" t="s">
        <v>62</v>
      </c>
      <c r="H10" s="18">
        <v>76.666666666666671</v>
      </c>
      <c r="I10" s="17" t="s">
        <v>158</v>
      </c>
      <c r="J10" s="17" t="s">
        <v>157</v>
      </c>
      <c r="K10" s="17"/>
      <c r="L10" s="17"/>
      <c r="M10" s="16" t="str">
        <f>HYPERLINK("http://slimages.macys.com/is/image/MCY/19224175 ")</f>
        <v xml:space="preserve">http://slimages.macys.com/is/image/MCY/19224175 </v>
      </c>
      <c r="N10" s="30"/>
    </row>
    <row r="11" spans="1:14" ht="60" x14ac:dyDescent="0.25">
      <c r="A11" s="19" t="s">
        <v>7848</v>
      </c>
      <c r="B11" s="17" t="s">
        <v>7847</v>
      </c>
      <c r="C11" s="20">
        <v>1</v>
      </c>
      <c r="D11" s="18">
        <v>275</v>
      </c>
      <c r="E11" s="20">
        <v>536614196000060</v>
      </c>
      <c r="F11" s="17" t="s">
        <v>63</v>
      </c>
      <c r="G11" s="19" t="s">
        <v>57</v>
      </c>
      <c r="H11" s="18">
        <v>76.666666666666671</v>
      </c>
      <c r="I11" s="17" t="s">
        <v>158</v>
      </c>
      <c r="J11" s="17" t="s">
        <v>157</v>
      </c>
      <c r="K11" s="17"/>
      <c r="L11" s="17"/>
      <c r="M11" s="16" t="str">
        <f>HYPERLINK("http://slimages.macys.com/is/image/MCY/19224175 ")</f>
        <v xml:space="preserve">http://slimages.macys.com/is/image/MCY/19224175 </v>
      </c>
      <c r="N11" s="30"/>
    </row>
    <row r="12" spans="1:14" ht="60" x14ac:dyDescent="0.25">
      <c r="A12" s="19" t="s">
        <v>7846</v>
      </c>
      <c r="B12" s="17" t="s">
        <v>7845</v>
      </c>
      <c r="C12" s="20">
        <v>1</v>
      </c>
      <c r="D12" s="18">
        <v>248</v>
      </c>
      <c r="E12" s="20" t="s">
        <v>7844</v>
      </c>
      <c r="F12" s="17" t="s">
        <v>345</v>
      </c>
      <c r="G12" s="19" t="s">
        <v>757</v>
      </c>
      <c r="H12" s="18">
        <v>71.34</v>
      </c>
      <c r="I12" s="17" t="s">
        <v>756</v>
      </c>
      <c r="J12" s="17" t="s">
        <v>153</v>
      </c>
      <c r="K12" s="17" t="s">
        <v>637</v>
      </c>
      <c r="L12" s="17" t="s">
        <v>7843</v>
      </c>
      <c r="M12" s="16" t="str">
        <f>HYPERLINK("http://images.bloomingdales.com/is/image/BLM/11538234 ")</f>
        <v xml:space="preserve">http://images.bloomingdales.com/is/image/BLM/11538234 </v>
      </c>
      <c r="N12" s="30"/>
    </row>
    <row r="13" spans="1:14" ht="60" x14ac:dyDescent="0.25">
      <c r="A13" s="19" t="s">
        <v>7842</v>
      </c>
      <c r="B13" s="17" t="s">
        <v>7841</v>
      </c>
      <c r="C13" s="20">
        <v>1</v>
      </c>
      <c r="D13" s="18">
        <v>218</v>
      </c>
      <c r="E13" s="20" t="s">
        <v>5389</v>
      </c>
      <c r="F13" s="17" t="s">
        <v>140</v>
      </c>
      <c r="G13" s="19" t="s">
        <v>62</v>
      </c>
      <c r="H13" s="18">
        <v>62.640000000000008</v>
      </c>
      <c r="I13" s="17" t="s">
        <v>153</v>
      </c>
      <c r="J13" s="17" t="s">
        <v>153</v>
      </c>
      <c r="K13" s="17"/>
      <c r="L13" s="17"/>
      <c r="M13" s="16" t="str">
        <f>HYPERLINK("http://slimages.macys.com/is/image/MCY/18655803 ")</f>
        <v xml:space="preserve">http://slimages.macys.com/is/image/MCY/18655803 </v>
      </c>
      <c r="N13" s="30"/>
    </row>
    <row r="14" spans="1:14" ht="60" x14ac:dyDescent="0.25">
      <c r="A14" s="19" t="s">
        <v>7840</v>
      </c>
      <c r="B14" s="17" t="s">
        <v>7839</v>
      </c>
      <c r="C14" s="20">
        <v>1</v>
      </c>
      <c r="D14" s="18">
        <v>178</v>
      </c>
      <c r="E14" s="20" t="s">
        <v>7838</v>
      </c>
      <c r="F14" s="17" t="s">
        <v>575</v>
      </c>
      <c r="G14" s="19" t="s">
        <v>419</v>
      </c>
      <c r="H14" s="18">
        <v>53.333333333333336</v>
      </c>
      <c r="I14" s="17" t="s">
        <v>148</v>
      </c>
      <c r="J14" s="17" t="s">
        <v>147</v>
      </c>
      <c r="K14" s="17"/>
      <c r="L14" s="17"/>
      <c r="M14" s="16" t="str">
        <f>HYPERLINK("http://slimages.macys.com/is/image/MCY/18522170 ")</f>
        <v xml:space="preserve">http://slimages.macys.com/is/image/MCY/18522170 </v>
      </c>
      <c r="N14" s="30"/>
    </row>
    <row r="15" spans="1:14" ht="60" x14ac:dyDescent="0.25">
      <c r="A15" s="19" t="s">
        <v>7837</v>
      </c>
      <c r="B15" s="17" t="s">
        <v>7836</v>
      </c>
      <c r="C15" s="20">
        <v>1</v>
      </c>
      <c r="D15" s="18">
        <v>160</v>
      </c>
      <c r="E15" s="20" t="s">
        <v>6983</v>
      </c>
      <c r="F15" s="17" t="s">
        <v>23</v>
      </c>
      <c r="G15" s="19" t="s">
        <v>69</v>
      </c>
      <c r="H15" s="18">
        <v>53.333333333333336</v>
      </c>
      <c r="I15" s="17" t="s">
        <v>133</v>
      </c>
      <c r="J15" s="17" t="s">
        <v>1530</v>
      </c>
      <c r="K15" s="17"/>
      <c r="L15" s="17"/>
      <c r="M15" s="16" t="str">
        <f>HYPERLINK("http://slimages.macys.com/is/image/MCY/19003021 ")</f>
        <v xml:space="preserve">http://slimages.macys.com/is/image/MCY/19003021 </v>
      </c>
      <c r="N15" s="30"/>
    </row>
    <row r="16" spans="1:14" ht="60" x14ac:dyDescent="0.25">
      <c r="A16" s="19" t="s">
        <v>7835</v>
      </c>
      <c r="B16" s="17" t="s">
        <v>7834</v>
      </c>
      <c r="C16" s="20">
        <v>2</v>
      </c>
      <c r="D16" s="18">
        <v>168</v>
      </c>
      <c r="E16" s="20" t="s">
        <v>4806</v>
      </c>
      <c r="F16" s="17" t="s">
        <v>164</v>
      </c>
      <c r="G16" s="19" t="s">
        <v>43</v>
      </c>
      <c r="H16" s="18">
        <v>52.56666666666667</v>
      </c>
      <c r="I16" s="17" t="s">
        <v>153</v>
      </c>
      <c r="J16" s="17" t="s">
        <v>153</v>
      </c>
      <c r="K16" s="17"/>
      <c r="L16" s="17"/>
      <c r="M16" s="16" t="str">
        <f>HYPERLINK("http://slimages.macys.com/is/image/MCY/18010065 ")</f>
        <v xml:space="preserve">http://slimages.macys.com/is/image/MCY/18010065 </v>
      </c>
      <c r="N16" s="30"/>
    </row>
    <row r="17" spans="1:14" ht="60" x14ac:dyDescent="0.25">
      <c r="A17" s="19" t="s">
        <v>7833</v>
      </c>
      <c r="B17" s="17" t="s">
        <v>7832</v>
      </c>
      <c r="C17" s="20">
        <v>1</v>
      </c>
      <c r="D17" s="18">
        <v>178</v>
      </c>
      <c r="E17" s="20" t="s">
        <v>7831</v>
      </c>
      <c r="F17" s="17" t="s">
        <v>23</v>
      </c>
      <c r="G17" s="19" t="s">
        <v>74</v>
      </c>
      <c r="H17" s="18">
        <v>51.04</v>
      </c>
      <c r="I17" s="17" t="s">
        <v>153</v>
      </c>
      <c r="J17" s="17" t="s">
        <v>153</v>
      </c>
      <c r="K17" s="17" t="s">
        <v>6990</v>
      </c>
      <c r="L17" s="17" t="s">
        <v>6989</v>
      </c>
      <c r="M17" s="16" t="str">
        <f>HYPERLINK("http://images.bloomingdales.com/is/image/BLM/11391787 ")</f>
        <v xml:space="preserve">http://images.bloomingdales.com/is/image/BLM/11391787 </v>
      </c>
      <c r="N17" s="30"/>
    </row>
    <row r="18" spans="1:14" ht="96" x14ac:dyDescent="0.25">
      <c r="A18" s="19" t="s">
        <v>7830</v>
      </c>
      <c r="B18" s="17" t="s">
        <v>7829</v>
      </c>
      <c r="C18" s="20">
        <v>1</v>
      </c>
      <c r="D18" s="18">
        <v>178</v>
      </c>
      <c r="E18" s="20" t="s">
        <v>4796</v>
      </c>
      <c r="F18" s="17" t="s">
        <v>28</v>
      </c>
      <c r="G18" s="19"/>
      <c r="H18" s="18">
        <v>48</v>
      </c>
      <c r="I18" s="17" t="s">
        <v>148</v>
      </c>
      <c r="J18" s="17" t="s">
        <v>147</v>
      </c>
      <c r="K18" s="17" t="s">
        <v>771</v>
      </c>
      <c r="L18" s="17" t="s">
        <v>4795</v>
      </c>
      <c r="M18" s="16" t="str">
        <f>HYPERLINK("http://images.bloomingdales.com/is/image/BLM/11307001 ")</f>
        <v xml:space="preserve">http://images.bloomingdales.com/is/image/BLM/11307001 </v>
      </c>
      <c r="N18" s="30"/>
    </row>
    <row r="19" spans="1:14" ht="60" x14ac:dyDescent="0.25">
      <c r="A19" s="19" t="s">
        <v>7828</v>
      </c>
      <c r="B19" s="17" t="s">
        <v>7827</v>
      </c>
      <c r="C19" s="20">
        <v>1</v>
      </c>
      <c r="D19" s="18">
        <v>178</v>
      </c>
      <c r="E19" s="20" t="s">
        <v>7826</v>
      </c>
      <c r="F19" s="17" t="s">
        <v>28</v>
      </c>
      <c r="G19" s="19"/>
      <c r="H19" s="18">
        <v>48</v>
      </c>
      <c r="I19" s="17" t="s">
        <v>148</v>
      </c>
      <c r="J19" s="17" t="s">
        <v>147</v>
      </c>
      <c r="K19" s="17"/>
      <c r="L19" s="17"/>
      <c r="M19" s="16" t="str">
        <f>HYPERLINK("http://slimages.macys.com/is/image/MCY/18861973 ")</f>
        <v xml:space="preserve">http://slimages.macys.com/is/image/MCY/18861973 </v>
      </c>
      <c r="N19" s="30"/>
    </row>
    <row r="20" spans="1:14" ht="60" x14ac:dyDescent="0.25">
      <c r="A20" s="19" t="s">
        <v>7825</v>
      </c>
      <c r="B20" s="17" t="s">
        <v>7824</v>
      </c>
      <c r="C20" s="20">
        <v>1</v>
      </c>
      <c r="D20" s="18">
        <v>168</v>
      </c>
      <c r="E20" s="20" t="s">
        <v>6975</v>
      </c>
      <c r="F20" s="17" t="s">
        <v>28</v>
      </c>
      <c r="G20" s="19"/>
      <c r="H20" s="18">
        <v>45.333333333333336</v>
      </c>
      <c r="I20" s="17" t="s">
        <v>148</v>
      </c>
      <c r="J20" s="17" t="s">
        <v>147</v>
      </c>
      <c r="K20" s="17"/>
      <c r="L20" s="17"/>
      <c r="M20" s="16" t="str">
        <f>HYPERLINK("http://slimages.macys.com/is/image/MCY/19781789 ")</f>
        <v xml:space="preserve">http://slimages.macys.com/is/image/MCY/19781789 </v>
      </c>
      <c r="N20" s="30"/>
    </row>
    <row r="21" spans="1:14" ht="60" x14ac:dyDescent="0.25">
      <c r="A21" s="19" t="s">
        <v>7823</v>
      </c>
      <c r="B21" s="17" t="s">
        <v>7822</v>
      </c>
      <c r="C21" s="20">
        <v>1</v>
      </c>
      <c r="D21" s="18">
        <v>168</v>
      </c>
      <c r="E21" s="20" t="s">
        <v>6975</v>
      </c>
      <c r="F21" s="17" t="s">
        <v>28</v>
      </c>
      <c r="G21" s="19"/>
      <c r="H21" s="18">
        <v>45.333333333333336</v>
      </c>
      <c r="I21" s="17" t="s">
        <v>148</v>
      </c>
      <c r="J21" s="17" t="s">
        <v>147</v>
      </c>
      <c r="K21" s="17"/>
      <c r="L21" s="17"/>
      <c r="M21" s="16" t="str">
        <f>HYPERLINK("http://slimages.macys.com/is/image/MCY/19781789 ")</f>
        <v xml:space="preserve">http://slimages.macys.com/is/image/MCY/19781789 </v>
      </c>
      <c r="N21" s="30"/>
    </row>
    <row r="22" spans="1:14" ht="60" x14ac:dyDescent="0.25">
      <c r="A22" s="19" t="s">
        <v>7821</v>
      </c>
      <c r="B22" s="17" t="s">
        <v>7820</v>
      </c>
      <c r="C22" s="20">
        <v>1</v>
      </c>
      <c r="D22" s="18">
        <v>158</v>
      </c>
      <c r="E22" s="20" t="s">
        <v>2296</v>
      </c>
      <c r="F22" s="17" t="s">
        <v>562</v>
      </c>
      <c r="G22" s="19" t="s">
        <v>757</v>
      </c>
      <c r="H22" s="18">
        <v>45.24</v>
      </c>
      <c r="I22" s="17" t="s">
        <v>756</v>
      </c>
      <c r="J22" s="17" t="s">
        <v>153</v>
      </c>
      <c r="K22" s="17"/>
      <c r="L22" s="17"/>
      <c r="M22" s="16" t="str">
        <f>HYPERLINK("http://slimages.macys.com/is/image/MCY/20102885 ")</f>
        <v xml:space="preserve">http://slimages.macys.com/is/image/MCY/20102885 </v>
      </c>
      <c r="N22" s="30"/>
    </row>
    <row r="23" spans="1:14" ht="60" x14ac:dyDescent="0.25">
      <c r="A23" s="19" t="s">
        <v>6165</v>
      </c>
      <c r="B23" s="17" t="s">
        <v>6164</v>
      </c>
      <c r="C23" s="20">
        <v>1</v>
      </c>
      <c r="D23" s="18">
        <v>158</v>
      </c>
      <c r="E23" s="20" t="s">
        <v>6163</v>
      </c>
      <c r="F23" s="17" t="s">
        <v>51</v>
      </c>
      <c r="G23" s="19" t="s">
        <v>2295</v>
      </c>
      <c r="H23" s="18">
        <v>45.24</v>
      </c>
      <c r="I23" s="17" t="s">
        <v>756</v>
      </c>
      <c r="J23" s="17" t="s">
        <v>153</v>
      </c>
      <c r="K23" s="17"/>
      <c r="L23" s="17"/>
      <c r="M23" s="16" t="str">
        <f>HYPERLINK("http://slimages.macys.com/is/image/MCY/19201186 ")</f>
        <v xml:space="preserve">http://slimages.macys.com/is/image/MCY/19201186 </v>
      </c>
      <c r="N23" s="30"/>
    </row>
    <row r="24" spans="1:14" ht="60" x14ac:dyDescent="0.25">
      <c r="A24" s="19" t="s">
        <v>7819</v>
      </c>
      <c r="B24" s="17" t="s">
        <v>7818</v>
      </c>
      <c r="C24" s="20">
        <v>1</v>
      </c>
      <c r="D24" s="18">
        <v>148</v>
      </c>
      <c r="E24" s="20" t="s">
        <v>6160</v>
      </c>
      <c r="F24" s="17" t="s">
        <v>575</v>
      </c>
      <c r="G24" s="19"/>
      <c r="H24" s="18">
        <v>44.666666666666671</v>
      </c>
      <c r="I24" s="17" t="s">
        <v>148</v>
      </c>
      <c r="J24" s="17" t="s">
        <v>147</v>
      </c>
      <c r="K24" s="17" t="s">
        <v>637</v>
      </c>
      <c r="L24" s="17" t="s">
        <v>1724</v>
      </c>
      <c r="M24" s="16" t="str">
        <f>HYPERLINK("http://images.bloomingdales.com/is/image/BLM/11350682 ")</f>
        <v xml:space="preserve">http://images.bloomingdales.com/is/image/BLM/11350682 </v>
      </c>
      <c r="N24" s="30"/>
    </row>
    <row r="25" spans="1:14" ht="120" x14ac:dyDescent="0.25">
      <c r="A25" s="19" t="s">
        <v>7817</v>
      </c>
      <c r="B25" s="17" t="s">
        <v>7816</v>
      </c>
      <c r="C25" s="20">
        <v>1</v>
      </c>
      <c r="D25" s="18">
        <v>168</v>
      </c>
      <c r="E25" s="20" t="s">
        <v>4089</v>
      </c>
      <c r="F25" s="17" t="s">
        <v>28</v>
      </c>
      <c r="G25" s="19"/>
      <c r="H25" s="18">
        <v>43.06666666666667</v>
      </c>
      <c r="I25" s="17" t="s">
        <v>148</v>
      </c>
      <c r="J25" s="17" t="s">
        <v>147</v>
      </c>
      <c r="K25" s="17" t="s">
        <v>771</v>
      </c>
      <c r="L25" s="17" t="s">
        <v>7815</v>
      </c>
      <c r="M25" s="16" t="str">
        <f>HYPERLINK("http://images.bloomingdales.com/is/image/BLM/11350683 ")</f>
        <v xml:space="preserve">http://images.bloomingdales.com/is/image/BLM/11350683 </v>
      </c>
      <c r="N25" s="30"/>
    </row>
    <row r="26" spans="1:14" ht="60" x14ac:dyDescent="0.25">
      <c r="A26" s="19" t="s">
        <v>7814</v>
      </c>
      <c r="B26" s="17" t="s">
        <v>7813</v>
      </c>
      <c r="C26" s="20">
        <v>1</v>
      </c>
      <c r="D26" s="18">
        <v>140</v>
      </c>
      <c r="E26" s="20" t="s">
        <v>7812</v>
      </c>
      <c r="F26" s="17" t="s">
        <v>578</v>
      </c>
      <c r="G26" s="19" t="s">
        <v>898</v>
      </c>
      <c r="H26" s="18">
        <v>42.666666666666671</v>
      </c>
      <c r="I26" s="17" t="s">
        <v>481</v>
      </c>
      <c r="J26" s="17" t="s">
        <v>1500</v>
      </c>
      <c r="K26" s="17"/>
      <c r="L26" s="17"/>
      <c r="M26" s="16" t="str">
        <f>HYPERLINK("http://slimages.macys.com/is/image/MCY/18684939 ")</f>
        <v xml:space="preserve">http://slimages.macys.com/is/image/MCY/18684939 </v>
      </c>
      <c r="N26" s="30"/>
    </row>
    <row r="27" spans="1:14" ht="60" x14ac:dyDescent="0.25">
      <c r="A27" s="19" t="s">
        <v>7811</v>
      </c>
      <c r="B27" s="17" t="s">
        <v>7810</v>
      </c>
      <c r="C27" s="20">
        <v>1</v>
      </c>
      <c r="D27" s="18">
        <v>128</v>
      </c>
      <c r="E27" s="20" t="s">
        <v>7809</v>
      </c>
      <c r="F27" s="17" t="s">
        <v>51</v>
      </c>
      <c r="G27" s="19" t="s">
        <v>2295</v>
      </c>
      <c r="H27" s="18">
        <v>39.900000000000006</v>
      </c>
      <c r="I27" s="17" t="s">
        <v>756</v>
      </c>
      <c r="J27" s="17" t="s">
        <v>7808</v>
      </c>
      <c r="K27" s="17"/>
      <c r="L27" s="17"/>
      <c r="M27" s="16" t="str">
        <f>HYPERLINK("http://slimages.macys.com/is/image/MCY/18073087 ")</f>
        <v xml:space="preserve">http://slimages.macys.com/is/image/MCY/18073087 </v>
      </c>
      <c r="N27" s="30"/>
    </row>
    <row r="28" spans="1:14" ht="60" x14ac:dyDescent="0.25">
      <c r="A28" s="19" t="s">
        <v>7807</v>
      </c>
      <c r="B28" s="17" t="s">
        <v>7806</v>
      </c>
      <c r="C28" s="20">
        <v>1</v>
      </c>
      <c r="D28" s="18">
        <v>148</v>
      </c>
      <c r="E28" s="20" t="s">
        <v>7805</v>
      </c>
      <c r="F28" s="17" t="s">
        <v>578</v>
      </c>
      <c r="G28" s="19" t="s">
        <v>69</v>
      </c>
      <c r="H28" s="18">
        <v>39.466666666666669</v>
      </c>
      <c r="I28" s="17" t="s">
        <v>148</v>
      </c>
      <c r="J28" s="17" t="s">
        <v>2093</v>
      </c>
      <c r="K28" s="17"/>
      <c r="L28" s="17"/>
      <c r="M28" s="16" t="str">
        <f>HYPERLINK("http://slimages.macys.com/is/image/MCY/18515431 ")</f>
        <v xml:space="preserve">http://slimages.macys.com/is/image/MCY/18515431 </v>
      </c>
      <c r="N28" s="30"/>
    </row>
    <row r="29" spans="1:14" ht="60" x14ac:dyDescent="0.25">
      <c r="A29" s="19" t="s">
        <v>7804</v>
      </c>
      <c r="B29" s="17" t="s">
        <v>7803</v>
      </c>
      <c r="C29" s="20">
        <v>1</v>
      </c>
      <c r="D29" s="18">
        <v>138</v>
      </c>
      <c r="E29" s="20" t="s">
        <v>4081</v>
      </c>
      <c r="F29" s="17" t="s">
        <v>508</v>
      </c>
      <c r="G29" s="19" t="s">
        <v>3210</v>
      </c>
      <c r="H29" s="18">
        <v>39.440000000000005</v>
      </c>
      <c r="I29" s="17" t="s">
        <v>756</v>
      </c>
      <c r="J29" s="17" t="s">
        <v>153</v>
      </c>
      <c r="K29" s="17"/>
      <c r="L29" s="17"/>
      <c r="M29" s="16" t="str">
        <f>HYPERLINK("http://slimages.macys.com/is/image/MCY/19191960 ")</f>
        <v xml:space="preserve">http://slimages.macys.com/is/image/MCY/19191960 </v>
      </c>
      <c r="N29" s="30"/>
    </row>
    <row r="30" spans="1:14" ht="60" x14ac:dyDescent="0.25">
      <c r="A30" s="19" t="s">
        <v>2276</v>
      </c>
      <c r="B30" s="17" t="s">
        <v>2275</v>
      </c>
      <c r="C30" s="20">
        <v>1</v>
      </c>
      <c r="D30" s="18">
        <v>128</v>
      </c>
      <c r="E30" s="20" t="s">
        <v>2274</v>
      </c>
      <c r="F30" s="17" t="s">
        <v>51</v>
      </c>
      <c r="G30" s="19"/>
      <c r="H30" s="18">
        <v>38.666666666666664</v>
      </c>
      <c r="I30" s="17" t="s">
        <v>148</v>
      </c>
      <c r="J30" s="17" t="s">
        <v>147</v>
      </c>
      <c r="K30" s="17" t="s">
        <v>771</v>
      </c>
      <c r="L30" s="17" t="s">
        <v>2273</v>
      </c>
      <c r="M30" s="16" t="str">
        <f>HYPERLINK("http://images.bloomingdales.com/is/image/BLM/11350679 ")</f>
        <v xml:space="preserve">http://images.bloomingdales.com/is/image/BLM/11350679 </v>
      </c>
      <c r="N30" s="30"/>
    </row>
    <row r="31" spans="1:14" ht="60" x14ac:dyDescent="0.25">
      <c r="A31" s="19" t="s">
        <v>6152</v>
      </c>
      <c r="B31" s="17" t="s">
        <v>6151</v>
      </c>
      <c r="C31" s="20">
        <v>1</v>
      </c>
      <c r="D31" s="18">
        <v>128</v>
      </c>
      <c r="E31" s="20" t="s">
        <v>2274</v>
      </c>
      <c r="F31" s="17" t="s">
        <v>51</v>
      </c>
      <c r="G31" s="19"/>
      <c r="H31" s="18">
        <v>38.666666666666664</v>
      </c>
      <c r="I31" s="17" t="s">
        <v>148</v>
      </c>
      <c r="J31" s="17" t="s">
        <v>147</v>
      </c>
      <c r="K31" s="17" t="s">
        <v>771</v>
      </c>
      <c r="L31" s="17" t="s">
        <v>2273</v>
      </c>
      <c r="M31" s="16" t="str">
        <f>HYPERLINK("http://images.bloomingdales.com/is/image/BLM/11350679 ")</f>
        <v xml:space="preserve">http://images.bloomingdales.com/is/image/BLM/11350679 </v>
      </c>
      <c r="N31" s="30"/>
    </row>
    <row r="32" spans="1:14" ht="60" x14ac:dyDescent="0.25">
      <c r="A32" s="19" t="s">
        <v>7802</v>
      </c>
      <c r="B32" s="17" t="s">
        <v>7801</v>
      </c>
      <c r="C32" s="20">
        <v>1</v>
      </c>
      <c r="D32" s="18">
        <v>128</v>
      </c>
      <c r="E32" s="20" t="s">
        <v>2274</v>
      </c>
      <c r="F32" s="17" t="s">
        <v>51</v>
      </c>
      <c r="G32" s="19"/>
      <c r="H32" s="18">
        <v>38.666666666666664</v>
      </c>
      <c r="I32" s="17" t="s">
        <v>148</v>
      </c>
      <c r="J32" s="17" t="s">
        <v>147</v>
      </c>
      <c r="K32" s="17" t="s">
        <v>771</v>
      </c>
      <c r="L32" s="17" t="s">
        <v>2273</v>
      </c>
      <c r="M32" s="16" t="str">
        <f>HYPERLINK("http://images.bloomingdales.com/is/image/BLM/11350679 ")</f>
        <v xml:space="preserve">http://images.bloomingdales.com/is/image/BLM/11350679 </v>
      </c>
      <c r="N32" s="30"/>
    </row>
    <row r="33" spans="1:14" ht="60" x14ac:dyDescent="0.25">
      <c r="A33" s="19" t="s">
        <v>7800</v>
      </c>
      <c r="B33" s="17" t="s">
        <v>7799</v>
      </c>
      <c r="C33" s="20">
        <v>1</v>
      </c>
      <c r="D33" s="18">
        <v>125</v>
      </c>
      <c r="E33" s="20" t="s">
        <v>6955</v>
      </c>
      <c r="F33" s="17" t="s">
        <v>91</v>
      </c>
      <c r="G33" s="19" t="s">
        <v>197</v>
      </c>
      <c r="H33" s="18">
        <v>38</v>
      </c>
      <c r="I33" s="17" t="s">
        <v>133</v>
      </c>
      <c r="J33" s="17" t="s">
        <v>1437</v>
      </c>
      <c r="K33" s="17"/>
      <c r="L33" s="17"/>
      <c r="M33" s="16" t="str">
        <f>HYPERLINK("http://slimages.macys.com/is/image/MCY/19401014 ")</f>
        <v xml:space="preserve">http://slimages.macys.com/is/image/MCY/19401014 </v>
      </c>
      <c r="N33" s="30"/>
    </row>
    <row r="34" spans="1:14" ht="60" x14ac:dyDescent="0.25">
      <c r="A34" s="19" t="s">
        <v>6957</v>
      </c>
      <c r="B34" s="17" t="s">
        <v>6956</v>
      </c>
      <c r="C34" s="20">
        <v>1</v>
      </c>
      <c r="D34" s="18">
        <v>125</v>
      </c>
      <c r="E34" s="20" t="s">
        <v>6955</v>
      </c>
      <c r="F34" s="17" t="s">
        <v>91</v>
      </c>
      <c r="G34" s="19" t="s">
        <v>57</v>
      </c>
      <c r="H34" s="18">
        <v>38</v>
      </c>
      <c r="I34" s="17" t="s">
        <v>133</v>
      </c>
      <c r="J34" s="17" t="s">
        <v>1437</v>
      </c>
      <c r="K34" s="17"/>
      <c r="L34" s="17"/>
      <c r="M34" s="16" t="str">
        <f>HYPERLINK("http://slimages.macys.com/is/image/MCY/19401014 ")</f>
        <v xml:space="preserve">http://slimages.macys.com/is/image/MCY/19401014 </v>
      </c>
      <c r="N34" s="30"/>
    </row>
    <row r="35" spans="1:14" ht="60" x14ac:dyDescent="0.25">
      <c r="A35" s="19" t="s">
        <v>7798</v>
      </c>
      <c r="B35" s="17" t="s">
        <v>7797</v>
      </c>
      <c r="C35" s="20">
        <v>1</v>
      </c>
      <c r="D35" s="18">
        <v>168</v>
      </c>
      <c r="E35" s="20" t="s">
        <v>3038</v>
      </c>
      <c r="F35" s="17" t="s">
        <v>2876</v>
      </c>
      <c r="G35" s="19" t="s">
        <v>50</v>
      </c>
      <c r="H35" s="18">
        <v>37.073333333333338</v>
      </c>
      <c r="I35" s="17" t="s">
        <v>49</v>
      </c>
      <c r="J35" s="17" t="s">
        <v>48</v>
      </c>
      <c r="K35" s="17"/>
      <c r="L35" s="17"/>
      <c r="M35" s="16" t="str">
        <f>HYPERLINK("http://slimages.macys.com/is/image/MCY/18989779 ")</f>
        <v xml:space="preserve">http://slimages.macys.com/is/image/MCY/18989779 </v>
      </c>
      <c r="N35" s="30"/>
    </row>
    <row r="36" spans="1:14" ht="60" x14ac:dyDescent="0.25">
      <c r="A36" s="19" t="s">
        <v>7796</v>
      </c>
      <c r="B36" s="17" t="s">
        <v>7795</v>
      </c>
      <c r="C36" s="20">
        <v>1</v>
      </c>
      <c r="D36" s="18">
        <v>168</v>
      </c>
      <c r="E36" s="20" t="s">
        <v>3038</v>
      </c>
      <c r="F36" s="17" t="s">
        <v>2876</v>
      </c>
      <c r="G36" s="19" t="s">
        <v>22</v>
      </c>
      <c r="H36" s="18">
        <v>37.073333333333338</v>
      </c>
      <c r="I36" s="17" t="s">
        <v>49</v>
      </c>
      <c r="J36" s="17" t="s">
        <v>48</v>
      </c>
      <c r="K36" s="17"/>
      <c r="L36" s="17"/>
      <c r="M36" s="16" t="str">
        <f>HYPERLINK("http://slimages.macys.com/is/image/MCY/18989779 ")</f>
        <v xml:space="preserve">http://slimages.macys.com/is/image/MCY/18989779 </v>
      </c>
      <c r="N36" s="30"/>
    </row>
    <row r="37" spans="1:14" ht="60" x14ac:dyDescent="0.25">
      <c r="A37" s="19" t="s">
        <v>6947</v>
      </c>
      <c r="B37" s="17" t="s">
        <v>6946</v>
      </c>
      <c r="C37" s="20">
        <v>1</v>
      </c>
      <c r="D37" s="18">
        <v>120</v>
      </c>
      <c r="E37" s="20" t="s">
        <v>6945</v>
      </c>
      <c r="F37" s="17" t="s">
        <v>35</v>
      </c>
      <c r="G37" s="19" t="s">
        <v>898</v>
      </c>
      <c r="H37" s="18">
        <v>36.666666666666671</v>
      </c>
      <c r="I37" s="17" t="s">
        <v>481</v>
      </c>
      <c r="J37" s="17" t="s">
        <v>1500</v>
      </c>
      <c r="K37" s="17" t="s">
        <v>1945</v>
      </c>
      <c r="L37" s="17" t="s">
        <v>5396</v>
      </c>
      <c r="M37" s="16" t="str">
        <f>HYPERLINK("http://images.bloomingdales.com/is/image/BLM/11549027 ")</f>
        <v xml:space="preserve">http://images.bloomingdales.com/is/image/BLM/11549027 </v>
      </c>
      <c r="N37" s="30"/>
    </row>
    <row r="38" spans="1:14" ht="60" x14ac:dyDescent="0.25">
      <c r="A38" s="19" t="s">
        <v>7794</v>
      </c>
      <c r="B38" s="17" t="s">
        <v>7793</v>
      </c>
      <c r="C38" s="20">
        <v>1</v>
      </c>
      <c r="D38" s="18">
        <v>119</v>
      </c>
      <c r="E38" s="20" t="s">
        <v>7792</v>
      </c>
      <c r="F38" s="17" t="s">
        <v>508</v>
      </c>
      <c r="G38" s="19" t="s">
        <v>698</v>
      </c>
      <c r="H38" s="18">
        <v>36.000000000000007</v>
      </c>
      <c r="I38" s="17" t="s">
        <v>148</v>
      </c>
      <c r="J38" s="17" t="s">
        <v>772</v>
      </c>
      <c r="K38" s="17"/>
      <c r="L38" s="17"/>
      <c r="M38" s="16" t="str">
        <f>HYPERLINK("http://slimages.macys.com/is/image/MCY/18662386 ")</f>
        <v xml:space="preserve">http://slimages.macys.com/is/image/MCY/18662386 </v>
      </c>
      <c r="N38" s="30"/>
    </row>
    <row r="39" spans="1:14" ht="60" x14ac:dyDescent="0.25">
      <c r="A39" s="19" t="s">
        <v>7791</v>
      </c>
      <c r="B39" s="17" t="s">
        <v>7790</v>
      </c>
      <c r="C39" s="20">
        <v>1</v>
      </c>
      <c r="D39" s="18">
        <v>159</v>
      </c>
      <c r="E39" s="20" t="s">
        <v>1464</v>
      </c>
      <c r="F39" s="17" t="s">
        <v>58</v>
      </c>
      <c r="G39" s="19" t="s">
        <v>682</v>
      </c>
      <c r="H39" s="18">
        <v>31.799999999999997</v>
      </c>
      <c r="I39" s="17" t="s">
        <v>144</v>
      </c>
      <c r="J39" s="17" t="s">
        <v>496</v>
      </c>
      <c r="K39" s="17"/>
      <c r="L39" s="17"/>
      <c r="M39" s="16" t="str">
        <f>HYPERLINK("http://slimages.macys.com/is/image/MCY/19037970 ")</f>
        <v xml:space="preserve">http://slimages.macys.com/is/image/MCY/19037970 </v>
      </c>
      <c r="N39" s="30"/>
    </row>
    <row r="40" spans="1:14" ht="60" x14ac:dyDescent="0.25">
      <c r="A40" s="19" t="s">
        <v>7789</v>
      </c>
      <c r="B40" s="17" t="s">
        <v>7788</v>
      </c>
      <c r="C40" s="20">
        <v>1</v>
      </c>
      <c r="D40" s="18">
        <v>139.5</v>
      </c>
      <c r="E40" s="20" t="s">
        <v>7787</v>
      </c>
      <c r="F40" s="17" t="s">
        <v>51</v>
      </c>
      <c r="G40" s="19" t="s">
        <v>69</v>
      </c>
      <c r="H40" s="18">
        <v>30.693333333333335</v>
      </c>
      <c r="I40" s="17" t="s">
        <v>654</v>
      </c>
      <c r="J40" s="17" t="s">
        <v>653</v>
      </c>
      <c r="K40" s="17"/>
      <c r="L40" s="17"/>
      <c r="M40" s="16" t="str">
        <f>HYPERLINK("http://slimages.macys.com/is/image/MCY/19608794 ")</f>
        <v xml:space="preserve">http://slimages.macys.com/is/image/MCY/19608794 </v>
      </c>
      <c r="N40" s="30"/>
    </row>
    <row r="41" spans="1:14" ht="60" x14ac:dyDescent="0.25">
      <c r="A41" s="19" t="s">
        <v>7786</v>
      </c>
      <c r="B41" s="17" t="s">
        <v>7785</v>
      </c>
      <c r="C41" s="20">
        <v>1</v>
      </c>
      <c r="D41" s="18">
        <v>100</v>
      </c>
      <c r="E41" s="20" t="s">
        <v>7784</v>
      </c>
      <c r="F41" s="17" t="s">
        <v>28</v>
      </c>
      <c r="G41" s="19" t="s">
        <v>698</v>
      </c>
      <c r="H41" s="18">
        <v>30.666666666666664</v>
      </c>
      <c r="I41" s="17" t="s">
        <v>481</v>
      </c>
      <c r="J41" s="17" t="s">
        <v>1500</v>
      </c>
      <c r="K41" s="17"/>
      <c r="L41" s="17"/>
      <c r="M41" s="16" t="str">
        <f>HYPERLINK("http://slimages.macys.com/is/image/MCY/19302362 ")</f>
        <v xml:space="preserve">http://slimages.macys.com/is/image/MCY/19302362 </v>
      </c>
      <c r="N41" s="30"/>
    </row>
    <row r="42" spans="1:14" ht="60" x14ac:dyDescent="0.25">
      <c r="A42" s="19" t="s">
        <v>6120</v>
      </c>
      <c r="B42" s="17" t="s">
        <v>6119</v>
      </c>
      <c r="C42" s="20">
        <v>1</v>
      </c>
      <c r="D42" s="18">
        <v>128</v>
      </c>
      <c r="E42" s="20" t="s">
        <v>6118</v>
      </c>
      <c r="F42" s="17"/>
      <c r="G42" s="19" t="s">
        <v>74</v>
      </c>
      <c r="H42" s="18">
        <v>30.6</v>
      </c>
      <c r="I42" s="17" t="s">
        <v>133</v>
      </c>
      <c r="J42" s="17" t="s">
        <v>132</v>
      </c>
      <c r="K42" s="17" t="s">
        <v>637</v>
      </c>
      <c r="L42" s="17" t="s">
        <v>6117</v>
      </c>
      <c r="M42" s="16" t="str">
        <f>HYPERLINK("http://images.bloomingdales.com/is/image/BLM/11402529 ")</f>
        <v xml:space="preserve">http://images.bloomingdales.com/is/image/BLM/11402529 </v>
      </c>
      <c r="N42" s="30"/>
    </row>
    <row r="43" spans="1:14" ht="60" x14ac:dyDescent="0.25">
      <c r="A43" s="19" t="s">
        <v>7783</v>
      </c>
      <c r="B43" s="17" t="s">
        <v>7782</v>
      </c>
      <c r="C43" s="20">
        <v>2</v>
      </c>
      <c r="D43" s="18">
        <v>128</v>
      </c>
      <c r="E43" s="20" t="s">
        <v>6118</v>
      </c>
      <c r="F43" s="17"/>
      <c r="G43" s="19" t="s">
        <v>62</v>
      </c>
      <c r="H43" s="18">
        <v>30.6</v>
      </c>
      <c r="I43" s="17" t="s">
        <v>133</v>
      </c>
      <c r="J43" s="17" t="s">
        <v>132</v>
      </c>
      <c r="K43" s="17"/>
      <c r="L43" s="17"/>
      <c r="M43" s="16" t="str">
        <f>HYPERLINK("http://slimages.macys.com/is/image/MCY/18992562 ")</f>
        <v xml:space="preserve">http://slimages.macys.com/is/image/MCY/18992562 </v>
      </c>
      <c r="N43" s="30"/>
    </row>
    <row r="44" spans="1:14" ht="60" x14ac:dyDescent="0.25">
      <c r="A44" s="19" t="s">
        <v>7781</v>
      </c>
      <c r="B44" s="17" t="s">
        <v>7780</v>
      </c>
      <c r="C44" s="20">
        <v>1</v>
      </c>
      <c r="D44" s="18">
        <v>128</v>
      </c>
      <c r="E44" s="20" t="s">
        <v>7779</v>
      </c>
      <c r="F44" s="17"/>
      <c r="G44" s="19" t="s">
        <v>74</v>
      </c>
      <c r="H44" s="18">
        <v>30.6</v>
      </c>
      <c r="I44" s="17" t="s">
        <v>133</v>
      </c>
      <c r="J44" s="17" t="s">
        <v>132</v>
      </c>
      <c r="K44" s="17"/>
      <c r="L44" s="17"/>
      <c r="M44" s="16" t="str">
        <f>HYPERLINK("http://slimages.macys.com/is/image/MCY/18860531 ")</f>
        <v xml:space="preserve">http://slimages.macys.com/is/image/MCY/18860531 </v>
      </c>
      <c r="N44" s="30"/>
    </row>
    <row r="45" spans="1:14" ht="96" x14ac:dyDescent="0.25">
      <c r="A45" s="19" t="s">
        <v>7778</v>
      </c>
      <c r="B45" s="17" t="s">
        <v>7777</v>
      </c>
      <c r="C45" s="20">
        <v>1</v>
      </c>
      <c r="D45" s="18">
        <v>128</v>
      </c>
      <c r="E45" s="20" t="s">
        <v>7776</v>
      </c>
      <c r="F45" s="17" t="s">
        <v>1536</v>
      </c>
      <c r="G45" s="19" t="s">
        <v>682</v>
      </c>
      <c r="H45" s="18">
        <v>30.573333333333338</v>
      </c>
      <c r="I45" s="17" t="s">
        <v>133</v>
      </c>
      <c r="J45" s="17" t="s">
        <v>584</v>
      </c>
      <c r="K45" s="17" t="s">
        <v>637</v>
      </c>
      <c r="L45" s="17" t="s">
        <v>7775</v>
      </c>
      <c r="M45" s="16" t="str">
        <f>HYPERLINK("http://images.bloomingdales.com/is/image/BLM/11315618 ")</f>
        <v xml:space="preserve">http://images.bloomingdales.com/is/image/BLM/11315618 </v>
      </c>
      <c r="N45" s="30"/>
    </row>
    <row r="46" spans="1:14" ht="60" x14ac:dyDescent="0.25">
      <c r="A46" s="19" t="s">
        <v>7774</v>
      </c>
      <c r="B46" s="17" t="s">
        <v>7773</v>
      </c>
      <c r="C46" s="20">
        <v>12</v>
      </c>
      <c r="D46" s="18">
        <v>168</v>
      </c>
      <c r="E46" s="20" t="s">
        <v>7770</v>
      </c>
      <c r="F46" s="17" t="s">
        <v>3876</v>
      </c>
      <c r="G46" s="19" t="s">
        <v>898</v>
      </c>
      <c r="H46" s="18">
        <v>30.24</v>
      </c>
      <c r="I46" s="17" t="s">
        <v>115</v>
      </c>
      <c r="J46" s="17" t="s">
        <v>742</v>
      </c>
      <c r="K46" s="17"/>
      <c r="L46" s="17"/>
      <c r="M46" s="16" t="str">
        <f>HYPERLINK("http://slimages.macys.com/is/image/MCY/16756531 ")</f>
        <v xml:space="preserve">http://slimages.macys.com/is/image/MCY/16756531 </v>
      </c>
      <c r="N46" s="30"/>
    </row>
    <row r="47" spans="1:14" ht="60" x14ac:dyDescent="0.25">
      <c r="A47" s="19" t="s">
        <v>7772</v>
      </c>
      <c r="B47" s="17" t="s">
        <v>7771</v>
      </c>
      <c r="C47" s="20">
        <v>1</v>
      </c>
      <c r="D47" s="18">
        <v>168</v>
      </c>
      <c r="E47" s="20" t="s">
        <v>7770</v>
      </c>
      <c r="F47" s="17" t="s">
        <v>3876</v>
      </c>
      <c r="G47" s="19" t="s">
        <v>96</v>
      </c>
      <c r="H47" s="18">
        <v>30.24</v>
      </c>
      <c r="I47" s="17" t="s">
        <v>115</v>
      </c>
      <c r="J47" s="17" t="s">
        <v>742</v>
      </c>
      <c r="K47" s="17"/>
      <c r="L47" s="17"/>
      <c r="M47" s="16" t="str">
        <f>HYPERLINK("http://slimages.macys.com/is/image/MCY/16756531 ")</f>
        <v xml:space="preserve">http://slimages.macys.com/is/image/MCY/16756531 </v>
      </c>
      <c r="N47" s="30"/>
    </row>
    <row r="48" spans="1:14" ht="84" x14ac:dyDescent="0.25">
      <c r="A48" s="19" t="s">
        <v>6942</v>
      </c>
      <c r="B48" s="17" t="s">
        <v>6941</v>
      </c>
      <c r="C48" s="20">
        <v>3</v>
      </c>
      <c r="D48" s="18">
        <v>96.75</v>
      </c>
      <c r="E48" s="20" t="s">
        <v>6938</v>
      </c>
      <c r="F48" s="17" t="s">
        <v>51</v>
      </c>
      <c r="G48" s="19" t="s">
        <v>738</v>
      </c>
      <c r="H48" s="18">
        <v>30.099999999999998</v>
      </c>
      <c r="I48" s="17" t="s">
        <v>33</v>
      </c>
      <c r="J48" s="17" t="s">
        <v>496</v>
      </c>
      <c r="K48" s="17" t="s">
        <v>389</v>
      </c>
      <c r="L48" s="17" t="s">
        <v>6937</v>
      </c>
      <c r="M48" s="16" t="str">
        <f>HYPERLINK("http://slimages.macys.com/is/image/MCY/9702171 ")</f>
        <v xml:space="preserve">http://slimages.macys.com/is/image/MCY/9702171 </v>
      </c>
      <c r="N48" s="30"/>
    </row>
    <row r="49" spans="1:14" ht="84" x14ac:dyDescent="0.25">
      <c r="A49" s="19" t="s">
        <v>7769</v>
      </c>
      <c r="B49" s="17" t="s">
        <v>7768</v>
      </c>
      <c r="C49" s="20">
        <v>1</v>
      </c>
      <c r="D49" s="18">
        <v>96.75</v>
      </c>
      <c r="E49" s="20" t="s">
        <v>6938</v>
      </c>
      <c r="F49" s="17" t="s">
        <v>58</v>
      </c>
      <c r="G49" s="19" t="s">
        <v>1968</v>
      </c>
      <c r="H49" s="18">
        <v>30.099999999999998</v>
      </c>
      <c r="I49" s="17" t="s">
        <v>33</v>
      </c>
      <c r="J49" s="17" t="s">
        <v>496</v>
      </c>
      <c r="K49" s="17" t="s">
        <v>389</v>
      </c>
      <c r="L49" s="17" t="s">
        <v>6937</v>
      </c>
      <c r="M49" s="16" t="str">
        <f>HYPERLINK("http://slimages.macys.com/is/image/MCY/9702171 ")</f>
        <v xml:space="preserve">http://slimages.macys.com/is/image/MCY/9702171 </v>
      </c>
      <c r="N49" s="30"/>
    </row>
    <row r="50" spans="1:14" ht="60" x14ac:dyDescent="0.25">
      <c r="A50" s="19" t="s">
        <v>7767</v>
      </c>
      <c r="B50" s="17" t="s">
        <v>7766</v>
      </c>
      <c r="C50" s="20">
        <v>1</v>
      </c>
      <c r="D50" s="18">
        <v>99</v>
      </c>
      <c r="E50" s="20" t="s">
        <v>774</v>
      </c>
      <c r="F50" s="17" t="s">
        <v>58</v>
      </c>
      <c r="G50" s="19" t="s">
        <v>1862</v>
      </c>
      <c r="H50" s="18">
        <v>30</v>
      </c>
      <c r="I50" s="17" t="s">
        <v>148</v>
      </c>
      <c r="J50" s="17" t="s">
        <v>772</v>
      </c>
      <c r="K50" s="17"/>
      <c r="L50" s="17"/>
      <c r="M50" s="16" t="str">
        <f>HYPERLINK("http://slimages.macys.com/is/image/MCY/20034869 ")</f>
        <v xml:space="preserve">http://slimages.macys.com/is/image/MCY/20034869 </v>
      </c>
      <c r="N50" s="30"/>
    </row>
    <row r="51" spans="1:14" ht="60" x14ac:dyDescent="0.25">
      <c r="A51" s="19" t="s">
        <v>7765</v>
      </c>
      <c r="B51" s="17" t="s">
        <v>7764</v>
      </c>
      <c r="C51" s="20">
        <v>3</v>
      </c>
      <c r="D51" s="18">
        <v>99</v>
      </c>
      <c r="E51" s="20" t="s">
        <v>7763</v>
      </c>
      <c r="F51" s="17" t="s">
        <v>149</v>
      </c>
      <c r="G51" s="19" t="s">
        <v>773</v>
      </c>
      <c r="H51" s="18">
        <v>30</v>
      </c>
      <c r="I51" s="17" t="s">
        <v>148</v>
      </c>
      <c r="J51" s="17" t="s">
        <v>772</v>
      </c>
      <c r="K51" s="17"/>
      <c r="L51" s="17"/>
      <c r="M51" s="16" t="str">
        <f>HYPERLINK("http://slimages.macys.com/is/image/MCY/19074654 ")</f>
        <v xml:space="preserve">http://slimages.macys.com/is/image/MCY/19074654 </v>
      </c>
      <c r="N51" s="30"/>
    </row>
    <row r="52" spans="1:14" ht="60" x14ac:dyDescent="0.25">
      <c r="A52" s="19" t="s">
        <v>7762</v>
      </c>
      <c r="B52" s="17" t="s">
        <v>7761</v>
      </c>
      <c r="C52" s="20">
        <v>1</v>
      </c>
      <c r="D52" s="18">
        <v>110</v>
      </c>
      <c r="E52" s="20">
        <v>1008</v>
      </c>
      <c r="F52" s="17" t="s">
        <v>149</v>
      </c>
      <c r="G52" s="19" t="s">
        <v>74</v>
      </c>
      <c r="H52" s="18">
        <v>29.333333333333336</v>
      </c>
      <c r="I52" s="17" t="s">
        <v>133</v>
      </c>
      <c r="J52" s="17" t="s">
        <v>1480</v>
      </c>
      <c r="K52" s="17"/>
      <c r="L52" s="17"/>
      <c r="M52" s="16" t="str">
        <f>HYPERLINK("http://slimages.macys.com/is/image/MCY/19008868 ")</f>
        <v xml:space="preserve">http://slimages.macys.com/is/image/MCY/19008868 </v>
      </c>
      <c r="N52" s="30"/>
    </row>
    <row r="53" spans="1:14" ht="60" x14ac:dyDescent="0.25">
      <c r="A53" s="19" t="s">
        <v>7760</v>
      </c>
      <c r="B53" s="17" t="s">
        <v>7759</v>
      </c>
      <c r="C53" s="20">
        <v>2</v>
      </c>
      <c r="D53" s="18">
        <v>110</v>
      </c>
      <c r="E53" s="20">
        <v>1010</v>
      </c>
      <c r="F53" s="17" t="s">
        <v>272</v>
      </c>
      <c r="G53" s="19" t="s">
        <v>62</v>
      </c>
      <c r="H53" s="18">
        <v>29.333333333333336</v>
      </c>
      <c r="I53" s="17" t="s">
        <v>133</v>
      </c>
      <c r="J53" s="17" t="s">
        <v>1480</v>
      </c>
      <c r="K53" s="17"/>
      <c r="L53" s="17"/>
      <c r="M53" s="16" t="str">
        <f>HYPERLINK("http://slimages.macys.com/is/image/MCY/19008841 ")</f>
        <v xml:space="preserve">http://slimages.macys.com/is/image/MCY/19008841 </v>
      </c>
      <c r="N53" s="30"/>
    </row>
    <row r="54" spans="1:14" ht="60" x14ac:dyDescent="0.25">
      <c r="A54" s="19" t="s">
        <v>7758</v>
      </c>
      <c r="B54" s="17" t="s">
        <v>7757</v>
      </c>
      <c r="C54" s="20">
        <v>1</v>
      </c>
      <c r="D54" s="18">
        <v>110</v>
      </c>
      <c r="E54" s="20">
        <v>1008</v>
      </c>
      <c r="F54" s="17" t="s">
        <v>149</v>
      </c>
      <c r="G54" s="19" t="s">
        <v>69</v>
      </c>
      <c r="H54" s="18">
        <v>29.333333333333336</v>
      </c>
      <c r="I54" s="17" t="s">
        <v>133</v>
      </c>
      <c r="J54" s="17" t="s">
        <v>1480</v>
      </c>
      <c r="K54" s="17"/>
      <c r="L54" s="17"/>
      <c r="M54" s="16" t="str">
        <f>HYPERLINK("http://slimages.macys.com/is/image/MCY/19008868 ")</f>
        <v xml:space="preserve">http://slimages.macys.com/is/image/MCY/19008868 </v>
      </c>
      <c r="N54" s="30"/>
    </row>
    <row r="55" spans="1:14" ht="60" x14ac:dyDescent="0.25">
      <c r="A55" s="19" t="s">
        <v>4050</v>
      </c>
      <c r="B55" s="17" t="s">
        <v>4049</v>
      </c>
      <c r="C55" s="20">
        <v>1</v>
      </c>
      <c r="D55" s="18">
        <v>110</v>
      </c>
      <c r="E55" s="20">
        <v>1008</v>
      </c>
      <c r="F55" s="17" t="s">
        <v>149</v>
      </c>
      <c r="G55" s="19" t="s">
        <v>197</v>
      </c>
      <c r="H55" s="18">
        <v>29.333333333333336</v>
      </c>
      <c r="I55" s="17" t="s">
        <v>133</v>
      </c>
      <c r="J55" s="17" t="s">
        <v>1480</v>
      </c>
      <c r="K55" s="17"/>
      <c r="L55" s="17"/>
      <c r="M55" s="16" t="str">
        <f>HYPERLINK("http://slimages.macys.com/is/image/MCY/19008868 ")</f>
        <v xml:space="preserve">http://slimages.macys.com/is/image/MCY/19008868 </v>
      </c>
      <c r="N55" s="30"/>
    </row>
    <row r="56" spans="1:14" ht="60" x14ac:dyDescent="0.25">
      <c r="A56" s="19" t="s">
        <v>7756</v>
      </c>
      <c r="B56" s="17" t="s">
        <v>7755</v>
      </c>
      <c r="C56" s="20">
        <v>1</v>
      </c>
      <c r="D56" s="18">
        <v>104.25</v>
      </c>
      <c r="E56" s="20">
        <v>10758242</v>
      </c>
      <c r="F56" s="17" t="s">
        <v>140</v>
      </c>
      <c r="G56" s="19" t="s">
        <v>1191</v>
      </c>
      <c r="H56" s="18">
        <v>29.193333333333332</v>
      </c>
      <c r="I56" s="17" t="s">
        <v>358</v>
      </c>
      <c r="J56" s="17" t="s">
        <v>143</v>
      </c>
      <c r="K56" s="17"/>
      <c r="L56" s="17"/>
      <c r="M56" s="16" t="str">
        <f>HYPERLINK("http://slimages.macys.com/is/image/MCY/18954120 ")</f>
        <v xml:space="preserve">http://slimages.macys.com/is/image/MCY/18954120 </v>
      </c>
      <c r="N56" s="30"/>
    </row>
    <row r="57" spans="1:14" ht="60" x14ac:dyDescent="0.25">
      <c r="A57" s="19" t="s">
        <v>7754</v>
      </c>
      <c r="B57" s="17" t="s">
        <v>7753</v>
      </c>
      <c r="C57" s="20">
        <v>1</v>
      </c>
      <c r="D57" s="18">
        <v>95</v>
      </c>
      <c r="E57" s="20" t="s">
        <v>6086</v>
      </c>
      <c r="F57" s="17" t="s">
        <v>535</v>
      </c>
      <c r="G57" s="19" t="s">
        <v>57</v>
      </c>
      <c r="H57" s="18">
        <v>28.666666666666668</v>
      </c>
      <c r="I57" s="17" t="s">
        <v>133</v>
      </c>
      <c r="J57" s="17" t="s">
        <v>1437</v>
      </c>
      <c r="K57" s="17"/>
      <c r="L57" s="17"/>
      <c r="M57" s="16" t="str">
        <f>HYPERLINK("http://slimages.macys.com/is/image/MCY/19251706 ")</f>
        <v xml:space="preserve">http://slimages.macys.com/is/image/MCY/19251706 </v>
      </c>
      <c r="N57" s="30"/>
    </row>
    <row r="58" spans="1:14" ht="60" x14ac:dyDescent="0.25">
      <c r="A58" s="19" t="s">
        <v>7752</v>
      </c>
      <c r="B58" s="17" t="s">
        <v>7751</v>
      </c>
      <c r="C58" s="20">
        <v>1</v>
      </c>
      <c r="D58" s="18">
        <v>128</v>
      </c>
      <c r="E58" s="20" t="s">
        <v>7750</v>
      </c>
      <c r="F58" s="17" t="s">
        <v>716</v>
      </c>
      <c r="G58" s="19" t="s">
        <v>22</v>
      </c>
      <c r="H58" s="18">
        <v>28.24666666666667</v>
      </c>
      <c r="I58" s="17" t="s">
        <v>49</v>
      </c>
      <c r="J58" s="17" t="s">
        <v>48</v>
      </c>
      <c r="K58" s="17"/>
      <c r="L58" s="17"/>
      <c r="M58" s="16" t="str">
        <f>HYPERLINK("http://slimages.macys.com/is/image/MCY/18990345 ")</f>
        <v xml:space="preserve">http://slimages.macys.com/is/image/MCY/18990345 </v>
      </c>
      <c r="N58" s="30"/>
    </row>
    <row r="59" spans="1:14" ht="60" x14ac:dyDescent="0.25">
      <c r="A59" s="19" t="s">
        <v>7749</v>
      </c>
      <c r="B59" s="17" t="s">
        <v>7748</v>
      </c>
      <c r="C59" s="20">
        <v>1</v>
      </c>
      <c r="D59" s="18">
        <v>98</v>
      </c>
      <c r="E59" s="20" t="s">
        <v>6905</v>
      </c>
      <c r="F59" s="17" t="s">
        <v>51</v>
      </c>
      <c r="G59" s="19" t="s">
        <v>57</v>
      </c>
      <c r="H59" s="18">
        <v>27.840000000000003</v>
      </c>
      <c r="I59" s="17" t="s">
        <v>153</v>
      </c>
      <c r="J59" s="17" t="s">
        <v>153</v>
      </c>
      <c r="K59" s="17"/>
      <c r="L59" s="17"/>
      <c r="M59" s="16" t="str">
        <f>HYPERLINK("http://slimages.macys.com/is/image/MCY/18655905 ")</f>
        <v xml:space="preserve">http://slimages.macys.com/is/image/MCY/18655905 </v>
      </c>
      <c r="N59" s="30"/>
    </row>
    <row r="60" spans="1:14" ht="60" x14ac:dyDescent="0.25">
      <c r="A60" s="19" t="s">
        <v>7747</v>
      </c>
      <c r="B60" s="17" t="s">
        <v>7746</v>
      </c>
      <c r="C60" s="20">
        <v>1</v>
      </c>
      <c r="D60" s="18">
        <v>138</v>
      </c>
      <c r="E60" s="20" t="s">
        <v>2184</v>
      </c>
      <c r="F60" s="17" t="s">
        <v>28</v>
      </c>
      <c r="G60" s="19" t="s">
        <v>96</v>
      </c>
      <c r="H60" s="18">
        <v>27.599999999999998</v>
      </c>
      <c r="I60" s="17" t="s">
        <v>115</v>
      </c>
      <c r="J60" s="17" t="s">
        <v>748</v>
      </c>
      <c r="K60" s="17"/>
      <c r="L60" s="17"/>
      <c r="M60" s="16" t="str">
        <f>HYPERLINK("http://slimages.macys.com/is/image/MCY/19070598 ")</f>
        <v xml:space="preserve">http://slimages.macys.com/is/image/MCY/19070598 </v>
      </c>
      <c r="N60" s="30"/>
    </row>
    <row r="61" spans="1:14" ht="60" x14ac:dyDescent="0.25">
      <c r="A61" s="19" t="s">
        <v>7745</v>
      </c>
      <c r="B61" s="17" t="s">
        <v>7744</v>
      </c>
      <c r="C61" s="20">
        <v>1</v>
      </c>
      <c r="D61" s="18">
        <v>138</v>
      </c>
      <c r="E61" s="20" t="s">
        <v>2184</v>
      </c>
      <c r="F61" s="17" t="s">
        <v>28</v>
      </c>
      <c r="G61" s="19" t="s">
        <v>658</v>
      </c>
      <c r="H61" s="18">
        <v>27.599999999999998</v>
      </c>
      <c r="I61" s="17" t="s">
        <v>115</v>
      </c>
      <c r="J61" s="17" t="s">
        <v>748</v>
      </c>
      <c r="K61" s="17"/>
      <c r="L61" s="17"/>
      <c r="M61" s="16" t="str">
        <f>HYPERLINK("http://slimages.macys.com/is/image/MCY/19070598 ")</f>
        <v xml:space="preserve">http://slimages.macys.com/is/image/MCY/19070598 </v>
      </c>
      <c r="N61" s="30"/>
    </row>
    <row r="62" spans="1:14" ht="60" x14ac:dyDescent="0.25">
      <c r="A62" s="19" t="s">
        <v>7743</v>
      </c>
      <c r="B62" s="17" t="s">
        <v>7742</v>
      </c>
      <c r="C62" s="20">
        <v>1</v>
      </c>
      <c r="D62" s="18">
        <v>139</v>
      </c>
      <c r="E62" s="20">
        <v>10798932</v>
      </c>
      <c r="F62" s="17" t="s">
        <v>85</v>
      </c>
      <c r="G62" s="19" t="s">
        <v>898</v>
      </c>
      <c r="H62" s="18">
        <v>27.520000000000003</v>
      </c>
      <c r="I62" s="17" t="s">
        <v>115</v>
      </c>
      <c r="J62" s="17" t="s">
        <v>114</v>
      </c>
      <c r="K62" s="17"/>
      <c r="L62" s="17"/>
      <c r="M62" s="16" t="str">
        <f>HYPERLINK("http://slimages.macys.com/is/image/MCY/18545192 ")</f>
        <v xml:space="preserve">http://slimages.macys.com/is/image/MCY/18545192 </v>
      </c>
      <c r="N62" s="30"/>
    </row>
    <row r="63" spans="1:14" ht="60" x14ac:dyDescent="0.25">
      <c r="A63" s="19" t="s">
        <v>7741</v>
      </c>
      <c r="B63" s="17" t="s">
        <v>7740</v>
      </c>
      <c r="C63" s="20">
        <v>1</v>
      </c>
      <c r="D63" s="18">
        <v>96.75</v>
      </c>
      <c r="E63" s="20">
        <v>10758370</v>
      </c>
      <c r="F63" s="17" t="s">
        <v>23</v>
      </c>
      <c r="G63" s="19" t="s">
        <v>880</v>
      </c>
      <c r="H63" s="18">
        <v>27.093333333333334</v>
      </c>
      <c r="I63" s="17" t="s">
        <v>358</v>
      </c>
      <c r="J63" s="17" t="s">
        <v>143</v>
      </c>
      <c r="K63" s="17"/>
      <c r="L63" s="17"/>
      <c r="M63" s="16" t="str">
        <f>HYPERLINK("http://slimages.macys.com/is/image/MCY/16862623 ")</f>
        <v xml:space="preserve">http://slimages.macys.com/is/image/MCY/16862623 </v>
      </c>
      <c r="N63" s="30"/>
    </row>
    <row r="64" spans="1:14" ht="60" x14ac:dyDescent="0.25">
      <c r="A64" s="19" t="s">
        <v>7739</v>
      </c>
      <c r="B64" s="17" t="s">
        <v>7738</v>
      </c>
      <c r="C64" s="20">
        <v>1</v>
      </c>
      <c r="D64" s="18">
        <v>139</v>
      </c>
      <c r="E64" s="20">
        <v>10758486</v>
      </c>
      <c r="F64" s="17" t="s">
        <v>35</v>
      </c>
      <c r="G64" s="19" t="s">
        <v>1292</v>
      </c>
      <c r="H64" s="18">
        <v>26.873333333333331</v>
      </c>
      <c r="I64" s="17" t="s">
        <v>1307</v>
      </c>
      <c r="J64" s="17" t="s">
        <v>1306</v>
      </c>
      <c r="K64" s="17"/>
      <c r="L64" s="17"/>
      <c r="M64" s="16" t="str">
        <f>HYPERLINK("http://slimages.macys.com/is/image/MCY/18492561 ")</f>
        <v xml:space="preserve">http://slimages.macys.com/is/image/MCY/18492561 </v>
      </c>
      <c r="N64" s="30"/>
    </row>
    <row r="65" spans="1:14" ht="60" x14ac:dyDescent="0.25">
      <c r="A65" s="19" t="s">
        <v>7737</v>
      </c>
      <c r="B65" s="17" t="s">
        <v>7736</v>
      </c>
      <c r="C65" s="20">
        <v>1</v>
      </c>
      <c r="D65" s="18">
        <v>89</v>
      </c>
      <c r="E65" s="20" t="s">
        <v>2177</v>
      </c>
      <c r="F65" s="17" t="s">
        <v>508</v>
      </c>
      <c r="G65" s="19" t="s">
        <v>682</v>
      </c>
      <c r="H65" s="18">
        <v>26.666666666666668</v>
      </c>
      <c r="I65" s="17" t="s">
        <v>148</v>
      </c>
      <c r="J65" s="17" t="s">
        <v>772</v>
      </c>
      <c r="K65" s="17"/>
      <c r="L65" s="17"/>
      <c r="M65" s="16" t="str">
        <f>HYPERLINK("http://slimages.macys.com/is/image/MCY/19075309 ")</f>
        <v xml:space="preserve">http://slimages.macys.com/is/image/MCY/19075309 </v>
      </c>
      <c r="N65" s="30"/>
    </row>
    <row r="66" spans="1:14" ht="60" x14ac:dyDescent="0.25">
      <c r="A66" s="19" t="s">
        <v>6071</v>
      </c>
      <c r="B66" s="17" t="s">
        <v>6070</v>
      </c>
      <c r="C66" s="20">
        <v>4</v>
      </c>
      <c r="D66" s="18">
        <v>148</v>
      </c>
      <c r="E66" s="20" t="s">
        <v>2172</v>
      </c>
      <c r="F66" s="17" t="s">
        <v>216</v>
      </c>
      <c r="G66" s="19" t="s">
        <v>698</v>
      </c>
      <c r="H66" s="18">
        <v>26.64</v>
      </c>
      <c r="I66" s="17" t="s">
        <v>115</v>
      </c>
      <c r="J66" s="17" t="s">
        <v>742</v>
      </c>
      <c r="K66" s="17"/>
      <c r="L66" s="17"/>
      <c r="M66" s="16" t="str">
        <f>HYPERLINK("http://slimages.macys.com/is/image/MCY/16756634 ")</f>
        <v xml:space="preserve">http://slimages.macys.com/is/image/MCY/16756634 </v>
      </c>
      <c r="N66" s="30"/>
    </row>
    <row r="67" spans="1:14" ht="60" x14ac:dyDescent="0.25">
      <c r="A67" s="19" t="s">
        <v>2174</v>
      </c>
      <c r="B67" s="17" t="s">
        <v>2173</v>
      </c>
      <c r="C67" s="20">
        <v>1</v>
      </c>
      <c r="D67" s="18">
        <v>148</v>
      </c>
      <c r="E67" s="20" t="s">
        <v>2172</v>
      </c>
      <c r="F67" s="17" t="s">
        <v>216</v>
      </c>
      <c r="G67" s="19" t="s">
        <v>898</v>
      </c>
      <c r="H67" s="18">
        <v>26.64</v>
      </c>
      <c r="I67" s="17" t="s">
        <v>115</v>
      </c>
      <c r="J67" s="17" t="s">
        <v>742</v>
      </c>
      <c r="K67" s="17"/>
      <c r="L67" s="17"/>
      <c r="M67" s="16" t="str">
        <f>HYPERLINK("http://slimages.macys.com/is/image/MCY/16756634 ")</f>
        <v xml:space="preserve">http://slimages.macys.com/is/image/MCY/16756634 </v>
      </c>
      <c r="N67" s="30"/>
    </row>
    <row r="68" spans="1:14" ht="60" x14ac:dyDescent="0.25">
      <c r="A68" s="19" t="s">
        <v>7735</v>
      </c>
      <c r="B68" s="17" t="s">
        <v>7734</v>
      </c>
      <c r="C68" s="20">
        <v>1</v>
      </c>
      <c r="D68" s="18">
        <v>148</v>
      </c>
      <c r="E68" s="20" t="s">
        <v>7733</v>
      </c>
      <c r="F68" s="17" t="s">
        <v>23</v>
      </c>
      <c r="G68" s="19" t="s">
        <v>96</v>
      </c>
      <c r="H68" s="18">
        <v>26.64</v>
      </c>
      <c r="I68" s="17" t="s">
        <v>115</v>
      </c>
      <c r="J68" s="17" t="s">
        <v>742</v>
      </c>
      <c r="K68" s="17"/>
      <c r="L68" s="17"/>
      <c r="M68" s="16" t="str">
        <f>HYPERLINK("http://slimages.macys.com/is/image/MCY/16756454 ")</f>
        <v xml:space="preserve">http://slimages.macys.com/is/image/MCY/16756454 </v>
      </c>
      <c r="N68" s="30"/>
    </row>
    <row r="69" spans="1:14" ht="72" x14ac:dyDescent="0.25">
      <c r="A69" s="19" t="s">
        <v>6882</v>
      </c>
      <c r="B69" s="17" t="s">
        <v>6881</v>
      </c>
      <c r="C69" s="20">
        <v>1</v>
      </c>
      <c r="D69" s="18">
        <v>109</v>
      </c>
      <c r="E69" s="20" t="s">
        <v>6878</v>
      </c>
      <c r="F69" s="17" t="s">
        <v>575</v>
      </c>
      <c r="G69" s="19" t="s">
        <v>857</v>
      </c>
      <c r="H69" s="18">
        <v>26.38</v>
      </c>
      <c r="I69" s="17" t="s">
        <v>1363</v>
      </c>
      <c r="J69" s="17" t="s">
        <v>1362</v>
      </c>
      <c r="K69" s="17" t="s">
        <v>389</v>
      </c>
      <c r="L69" s="17" t="s">
        <v>6877</v>
      </c>
      <c r="M69" s="16" t="str">
        <f>HYPERLINK("http://slimages.macys.com/is/image/MCY/8778091 ")</f>
        <v xml:space="preserve">http://slimages.macys.com/is/image/MCY/8778091 </v>
      </c>
      <c r="N69" s="30"/>
    </row>
    <row r="70" spans="1:14" ht="60" x14ac:dyDescent="0.25">
      <c r="A70" s="19" t="s">
        <v>7732</v>
      </c>
      <c r="B70" s="17" t="s">
        <v>7731</v>
      </c>
      <c r="C70" s="20">
        <v>1</v>
      </c>
      <c r="D70" s="18">
        <v>109</v>
      </c>
      <c r="E70" s="20" t="s">
        <v>7730</v>
      </c>
      <c r="F70" s="17" t="s">
        <v>140</v>
      </c>
      <c r="G70" s="19" t="s">
        <v>658</v>
      </c>
      <c r="H70" s="18">
        <v>26.38</v>
      </c>
      <c r="I70" s="17" t="s">
        <v>1363</v>
      </c>
      <c r="J70" s="17" t="s">
        <v>1362</v>
      </c>
      <c r="K70" s="17"/>
      <c r="L70" s="17"/>
      <c r="M70" s="16" t="str">
        <f>HYPERLINK("http://slimages.macys.com/is/image/MCY/18448100 ")</f>
        <v xml:space="preserve">http://slimages.macys.com/is/image/MCY/18448100 </v>
      </c>
      <c r="N70" s="30"/>
    </row>
    <row r="71" spans="1:14" ht="60" x14ac:dyDescent="0.25">
      <c r="A71" s="19" t="s">
        <v>7729</v>
      </c>
      <c r="B71" s="17" t="s">
        <v>7728</v>
      </c>
      <c r="C71" s="20">
        <v>1</v>
      </c>
      <c r="D71" s="18">
        <v>109</v>
      </c>
      <c r="E71" s="20" t="s">
        <v>7727</v>
      </c>
      <c r="F71" s="17" t="s">
        <v>51</v>
      </c>
      <c r="G71" s="19" t="s">
        <v>116</v>
      </c>
      <c r="H71" s="18">
        <v>26.38</v>
      </c>
      <c r="I71" s="17" t="s">
        <v>1363</v>
      </c>
      <c r="J71" s="17" t="s">
        <v>1362</v>
      </c>
      <c r="K71" s="17" t="s">
        <v>389</v>
      </c>
      <c r="L71" s="17" t="s">
        <v>4024</v>
      </c>
      <c r="M71" s="16" t="str">
        <f>HYPERLINK("http://slimages.macys.com/is/image/MCY/12790548 ")</f>
        <v xml:space="preserve">http://slimages.macys.com/is/image/MCY/12790548 </v>
      </c>
      <c r="N71" s="30"/>
    </row>
    <row r="72" spans="1:14" ht="60" x14ac:dyDescent="0.25">
      <c r="A72" s="19" t="s">
        <v>7726</v>
      </c>
      <c r="B72" s="17" t="s">
        <v>7725</v>
      </c>
      <c r="C72" s="20">
        <v>1</v>
      </c>
      <c r="D72" s="18">
        <v>98</v>
      </c>
      <c r="E72" s="20" t="s">
        <v>7720</v>
      </c>
      <c r="F72" s="17" t="s">
        <v>63</v>
      </c>
      <c r="G72" s="19"/>
      <c r="H72" s="18">
        <v>26.133333333333333</v>
      </c>
      <c r="I72" s="17" t="s">
        <v>148</v>
      </c>
      <c r="J72" s="17" t="s">
        <v>2093</v>
      </c>
      <c r="K72" s="17"/>
      <c r="L72" s="17"/>
      <c r="M72" s="16" t="str">
        <f>HYPERLINK("http://slimages.macys.com/is/image/MCY/19146878 ")</f>
        <v xml:space="preserve">http://slimages.macys.com/is/image/MCY/19146878 </v>
      </c>
      <c r="N72" s="30"/>
    </row>
    <row r="73" spans="1:14" ht="60" x14ac:dyDescent="0.25">
      <c r="A73" s="19" t="s">
        <v>7724</v>
      </c>
      <c r="B73" s="17" t="s">
        <v>7723</v>
      </c>
      <c r="C73" s="20">
        <v>1</v>
      </c>
      <c r="D73" s="18">
        <v>98</v>
      </c>
      <c r="E73" s="20" t="s">
        <v>7720</v>
      </c>
      <c r="F73" s="17" t="s">
        <v>97</v>
      </c>
      <c r="G73" s="19"/>
      <c r="H73" s="18">
        <v>26.133333333333333</v>
      </c>
      <c r="I73" s="17" t="s">
        <v>148</v>
      </c>
      <c r="J73" s="17" t="s">
        <v>2093</v>
      </c>
      <c r="K73" s="17"/>
      <c r="L73" s="17"/>
      <c r="M73" s="16" t="str">
        <f>HYPERLINK("http://slimages.macys.com/is/image/MCY/19146878 ")</f>
        <v xml:space="preserve">http://slimages.macys.com/is/image/MCY/19146878 </v>
      </c>
      <c r="N73" s="30"/>
    </row>
    <row r="74" spans="1:14" ht="60" x14ac:dyDescent="0.25">
      <c r="A74" s="19" t="s">
        <v>7722</v>
      </c>
      <c r="B74" s="17" t="s">
        <v>7721</v>
      </c>
      <c r="C74" s="20">
        <v>1</v>
      </c>
      <c r="D74" s="18">
        <v>98</v>
      </c>
      <c r="E74" s="20" t="s">
        <v>7720</v>
      </c>
      <c r="F74" s="17" t="s">
        <v>380</v>
      </c>
      <c r="G74" s="19" t="s">
        <v>4770</v>
      </c>
      <c r="H74" s="18">
        <v>26.133333333333333</v>
      </c>
      <c r="I74" s="17" t="s">
        <v>148</v>
      </c>
      <c r="J74" s="17" t="s">
        <v>2093</v>
      </c>
      <c r="K74" s="17"/>
      <c r="L74" s="17"/>
      <c r="M74" s="16" t="str">
        <f>HYPERLINK("http://slimages.macys.com/is/image/MCY/19146878 ")</f>
        <v xml:space="preserve">http://slimages.macys.com/is/image/MCY/19146878 </v>
      </c>
      <c r="N74" s="30"/>
    </row>
    <row r="75" spans="1:14" ht="60" x14ac:dyDescent="0.25">
      <c r="A75" s="19" t="s">
        <v>7719</v>
      </c>
      <c r="B75" s="17" t="s">
        <v>7718</v>
      </c>
      <c r="C75" s="20">
        <v>3</v>
      </c>
      <c r="D75" s="18">
        <v>118</v>
      </c>
      <c r="E75" s="20" t="s">
        <v>2160</v>
      </c>
      <c r="F75" s="17" t="s">
        <v>28</v>
      </c>
      <c r="G75" s="19" t="s">
        <v>1862</v>
      </c>
      <c r="H75" s="18">
        <v>26.040000000000003</v>
      </c>
      <c r="I75" s="17" t="s">
        <v>49</v>
      </c>
      <c r="J75" s="17" t="s">
        <v>48</v>
      </c>
      <c r="K75" s="17"/>
      <c r="L75" s="17"/>
      <c r="M75" s="16" t="str">
        <f>HYPERLINK("http://slimages.macys.com/is/image/MCY/19349047 ")</f>
        <v xml:space="preserve">http://slimages.macys.com/is/image/MCY/19349047 </v>
      </c>
      <c r="N75" s="30"/>
    </row>
    <row r="76" spans="1:14" ht="60" x14ac:dyDescent="0.25">
      <c r="A76" s="19" t="s">
        <v>7717</v>
      </c>
      <c r="B76" s="17" t="s">
        <v>7716</v>
      </c>
      <c r="C76" s="20">
        <v>1</v>
      </c>
      <c r="D76" s="18">
        <v>128</v>
      </c>
      <c r="E76" s="20" t="s">
        <v>7715</v>
      </c>
      <c r="F76" s="17" t="s">
        <v>23</v>
      </c>
      <c r="G76" s="19" t="s">
        <v>116</v>
      </c>
      <c r="H76" s="18">
        <v>25.6</v>
      </c>
      <c r="I76" s="17" t="s">
        <v>115</v>
      </c>
      <c r="J76" s="17" t="s">
        <v>496</v>
      </c>
      <c r="K76" s="17"/>
      <c r="L76" s="17"/>
      <c r="M76" s="16" t="str">
        <f>HYPERLINK("http://slimages.macys.com/is/image/MCY/19068112 ")</f>
        <v xml:space="preserve">http://slimages.macys.com/is/image/MCY/19068112 </v>
      </c>
      <c r="N76" s="30"/>
    </row>
    <row r="77" spans="1:14" ht="60" x14ac:dyDescent="0.25">
      <c r="A77" s="19" t="s">
        <v>7714</v>
      </c>
      <c r="B77" s="17" t="s">
        <v>7713</v>
      </c>
      <c r="C77" s="20">
        <v>1</v>
      </c>
      <c r="D77" s="18">
        <v>119</v>
      </c>
      <c r="E77" s="20">
        <v>7030901</v>
      </c>
      <c r="F77" s="17" t="s">
        <v>140</v>
      </c>
      <c r="G77" s="19" t="s">
        <v>22</v>
      </c>
      <c r="H77" s="18">
        <v>25.386666666666667</v>
      </c>
      <c r="I77" s="17" t="s">
        <v>111</v>
      </c>
      <c r="J77" s="17" t="s">
        <v>110</v>
      </c>
      <c r="K77" s="17"/>
      <c r="L77" s="17"/>
      <c r="M77" s="16" t="str">
        <f>HYPERLINK("http://slimages.macys.com/is/image/MCY/16942360 ")</f>
        <v xml:space="preserve">http://slimages.macys.com/is/image/MCY/16942360 </v>
      </c>
      <c r="N77" s="30"/>
    </row>
    <row r="78" spans="1:14" ht="60" x14ac:dyDescent="0.25">
      <c r="A78" s="19" t="s">
        <v>7712</v>
      </c>
      <c r="B78" s="17" t="s">
        <v>7711</v>
      </c>
      <c r="C78" s="20">
        <v>2</v>
      </c>
      <c r="D78" s="18">
        <v>89.99</v>
      </c>
      <c r="E78" s="20" t="s">
        <v>2153</v>
      </c>
      <c r="F78" s="17" t="s">
        <v>58</v>
      </c>
      <c r="G78" s="19"/>
      <c r="H78" s="18">
        <v>25.38</v>
      </c>
      <c r="I78" s="17" t="s">
        <v>42</v>
      </c>
      <c r="J78" s="17" t="s">
        <v>41</v>
      </c>
      <c r="K78" s="17"/>
      <c r="L78" s="17"/>
      <c r="M78" s="16" t="str">
        <f>HYPERLINK("http://slimages.macys.com/is/image/MCY/16374379 ")</f>
        <v xml:space="preserve">http://slimages.macys.com/is/image/MCY/16374379 </v>
      </c>
      <c r="N78" s="30"/>
    </row>
    <row r="79" spans="1:14" ht="60" x14ac:dyDescent="0.25">
      <c r="A79" s="19" t="s">
        <v>7710</v>
      </c>
      <c r="B79" s="17" t="s">
        <v>7709</v>
      </c>
      <c r="C79" s="20">
        <v>1</v>
      </c>
      <c r="D79" s="18">
        <v>89.99</v>
      </c>
      <c r="E79" s="20" t="s">
        <v>2153</v>
      </c>
      <c r="F79" s="17" t="s">
        <v>58</v>
      </c>
      <c r="G79" s="19"/>
      <c r="H79" s="18">
        <v>25.38</v>
      </c>
      <c r="I79" s="17" t="s">
        <v>42</v>
      </c>
      <c r="J79" s="17" t="s">
        <v>41</v>
      </c>
      <c r="K79" s="17"/>
      <c r="L79" s="17"/>
      <c r="M79" s="16" t="str">
        <f>HYPERLINK("http://slimages.macys.com/is/image/MCY/16374379 ")</f>
        <v xml:space="preserve">http://slimages.macys.com/is/image/MCY/16374379 </v>
      </c>
      <c r="N79" s="30"/>
    </row>
    <row r="80" spans="1:14" ht="60" x14ac:dyDescent="0.25">
      <c r="A80" s="19" t="s">
        <v>7708</v>
      </c>
      <c r="B80" s="17" t="s">
        <v>7706</v>
      </c>
      <c r="C80" s="20">
        <v>1</v>
      </c>
      <c r="D80" s="18">
        <v>89.99</v>
      </c>
      <c r="E80" s="20" t="s">
        <v>2153</v>
      </c>
      <c r="F80" s="17" t="s">
        <v>58</v>
      </c>
      <c r="G80" s="19"/>
      <c r="H80" s="18">
        <v>25.38</v>
      </c>
      <c r="I80" s="17" t="s">
        <v>42</v>
      </c>
      <c r="J80" s="17" t="s">
        <v>41</v>
      </c>
      <c r="K80" s="17"/>
      <c r="L80" s="17"/>
      <c r="M80" s="16" t="str">
        <f>HYPERLINK("http://slimages.macys.com/is/image/MCY/16374379 ")</f>
        <v xml:space="preserve">http://slimages.macys.com/is/image/MCY/16374379 </v>
      </c>
      <c r="N80" s="30"/>
    </row>
    <row r="81" spans="1:14" ht="60" x14ac:dyDescent="0.25">
      <c r="A81" s="19" t="s">
        <v>7707</v>
      </c>
      <c r="B81" s="17" t="s">
        <v>7706</v>
      </c>
      <c r="C81" s="20">
        <v>1</v>
      </c>
      <c r="D81" s="18">
        <v>97.3</v>
      </c>
      <c r="E81" s="20" t="s">
        <v>6030</v>
      </c>
      <c r="F81" s="17" t="s">
        <v>58</v>
      </c>
      <c r="G81" s="19"/>
      <c r="H81" s="18">
        <v>25.38</v>
      </c>
      <c r="I81" s="17" t="s">
        <v>42</v>
      </c>
      <c r="J81" s="17" t="s">
        <v>41</v>
      </c>
      <c r="K81" s="17"/>
      <c r="L81" s="17"/>
      <c r="M81" s="16" t="str">
        <f>HYPERLINK("http://slimages.macys.com/is/image/MCY/18504916 ")</f>
        <v xml:space="preserve">http://slimages.macys.com/is/image/MCY/18504916 </v>
      </c>
      <c r="N81" s="30"/>
    </row>
    <row r="82" spans="1:14" ht="60" x14ac:dyDescent="0.25">
      <c r="A82" s="19" t="s">
        <v>2155</v>
      </c>
      <c r="B82" s="17" t="s">
        <v>2154</v>
      </c>
      <c r="C82" s="20">
        <v>8</v>
      </c>
      <c r="D82" s="18">
        <v>89.99</v>
      </c>
      <c r="E82" s="20" t="s">
        <v>2153</v>
      </c>
      <c r="F82" s="17" t="s">
        <v>58</v>
      </c>
      <c r="G82" s="19"/>
      <c r="H82" s="18">
        <v>25.38</v>
      </c>
      <c r="I82" s="17" t="s">
        <v>42</v>
      </c>
      <c r="J82" s="17" t="s">
        <v>41</v>
      </c>
      <c r="K82" s="17"/>
      <c r="L82" s="17"/>
      <c r="M82" s="16" t="str">
        <f>HYPERLINK("http://slimages.macys.com/is/image/MCY/16374379 ")</f>
        <v xml:space="preserve">http://slimages.macys.com/is/image/MCY/16374379 </v>
      </c>
      <c r="N82" s="30"/>
    </row>
    <row r="83" spans="1:14" ht="60" x14ac:dyDescent="0.25">
      <c r="A83" s="19" t="s">
        <v>7705</v>
      </c>
      <c r="B83" s="17" t="s">
        <v>6031</v>
      </c>
      <c r="C83" s="20">
        <v>1</v>
      </c>
      <c r="D83" s="18">
        <v>89.99</v>
      </c>
      <c r="E83" s="20" t="s">
        <v>2153</v>
      </c>
      <c r="F83" s="17" t="s">
        <v>58</v>
      </c>
      <c r="G83" s="19"/>
      <c r="H83" s="18">
        <v>25.38</v>
      </c>
      <c r="I83" s="17" t="s">
        <v>42</v>
      </c>
      <c r="J83" s="17" t="s">
        <v>41</v>
      </c>
      <c r="K83" s="17"/>
      <c r="L83" s="17"/>
      <c r="M83" s="16" t="str">
        <f>HYPERLINK("http://slimages.macys.com/is/image/MCY/16374379 ")</f>
        <v xml:space="preserve">http://slimages.macys.com/is/image/MCY/16374379 </v>
      </c>
      <c r="N83" s="30"/>
    </row>
    <row r="84" spans="1:14" ht="60" x14ac:dyDescent="0.25">
      <c r="A84" s="19" t="s">
        <v>7704</v>
      </c>
      <c r="B84" s="17" t="s">
        <v>7703</v>
      </c>
      <c r="C84" s="20">
        <v>17</v>
      </c>
      <c r="D84" s="18">
        <v>89.99</v>
      </c>
      <c r="E84" s="20" t="s">
        <v>2153</v>
      </c>
      <c r="F84" s="17" t="s">
        <v>58</v>
      </c>
      <c r="G84" s="19"/>
      <c r="H84" s="18">
        <v>25.38</v>
      </c>
      <c r="I84" s="17" t="s">
        <v>42</v>
      </c>
      <c r="J84" s="17" t="s">
        <v>41</v>
      </c>
      <c r="K84" s="17"/>
      <c r="L84" s="17"/>
      <c r="M84" s="16" t="str">
        <f>HYPERLINK("http://slimages.macys.com/is/image/MCY/16374379 ")</f>
        <v xml:space="preserve">http://slimages.macys.com/is/image/MCY/16374379 </v>
      </c>
      <c r="N84" s="30"/>
    </row>
    <row r="85" spans="1:14" ht="60" x14ac:dyDescent="0.25">
      <c r="A85" s="19" t="s">
        <v>7702</v>
      </c>
      <c r="B85" s="17" t="s">
        <v>7701</v>
      </c>
      <c r="C85" s="20">
        <v>1</v>
      </c>
      <c r="D85" s="18">
        <v>138</v>
      </c>
      <c r="E85" s="20" t="s">
        <v>7700</v>
      </c>
      <c r="F85" s="17" t="s">
        <v>3876</v>
      </c>
      <c r="G85" s="19" t="s">
        <v>96</v>
      </c>
      <c r="H85" s="18">
        <v>24.84</v>
      </c>
      <c r="I85" s="17" t="s">
        <v>115</v>
      </c>
      <c r="J85" s="17" t="s">
        <v>742</v>
      </c>
      <c r="K85" s="17"/>
      <c r="L85" s="17"/>
      <c r="M85" s="16" t="str">
        <f>HYPERLINK("http://slimages.macys.com/is/image/MCY/18783296 ")</f>
        <v xml:space="preserve">http://slimages.macys.com/is/image/MCY/18783296 </v>
      </c>
      <c r="N85" s="30"/>
    </row>
    <row r="86" spans="1:14" ht="60" x14ac:dyDescent="0.25">
      <c r="A86" s="19" t="s">
        <v>1412</v>
      </c>
      <c r="B86" s="17" t="s">
        <v>1411</v>
      </c>
      <c r="C86" s="20">
        <v>1</v>
      </c>
      <c r="D86" s="18">
        <v>119</v>
      </c>
      <c r="E86" s="20">
        <v>10769524</v>
      </c>
      <c r="F86" s="17" t="s">
        <v>28</v>
      </c>
      <c r="G86" s="19" t="s">
        <v>62</v>
      </c>
      <c r="H86" s="18">
        <v>24.593333333333334</v>
      </c>
      <c r="I86" s="17" t="s">
        <v>144</v>
      </c>
      <c r="J86" s="17" t="s">
        <v>143</v>
      </c>
      <c r="K86" s="17"/>
      <c r="L86" s="17"/>
      <c r="M86" s="16" t="str">
        <f>HYPERLINK("http://slimages.macys.com/is/image/MCY/19095556 ")</f>
        <v xml:space="preserve">http://slimages.macys.com/is/image/MCY/19095556 </v>
      </c>
      <c r="N86" s="30"/>
    </row>
    <row r="87" spans="1:14" ht="60" x14ac:dyDescent="0.25">
      <c r="A87" s="19" t="s">
        <v>7699</v>
      </c>
      <c r="B87" s="17" t="s">
        <v>7698</v>
      </c>
      <c r="C87" s="20">
        <v>1</v>
      </c>
      <c r="D87" s="18">
        <v>79.989999999999995</v>
      </c>
      <c r="E87" s="20">
        <v>50039395</v>
      </c>
      <c r="F87" s="17" t="s">
        <v>28</v>
      </c>
      <c r="G87" s="19" t="s">
        <v>658</v>
      </c>
      <c r="H87" s="18">
        <v>24.533333333333335</v>
      </c>
      <c r="I87" s="17" t="s">
        <v>854</v>
      </c>
      <c r="J87" s="17" t="s">
        <v>850</v>
      </c>
      <c r="K87" s="17"/>
      <c r="L87" s="17"/>
      <c r="M87" s="16" t="str">
        <f>HYPERLINK("http://slimages.macys.com/is/image/MCY/17968666 ")</f>
        <v xml:space="preserve">http://slimages.macys.com/is/image/MCY/17968666 </v>
      </c>
      <c r="N87" s="30"/>
    </row>
    <row r="88" spans="1:14" ht="60" x14ac:dyDescent="0.25">
      <c r="A88" s="19" t="s">
        <v>7697</v>
      </c>
      <c r="B88" s="17" t="s">
        <v>7696</v>
      </c>
      <c r="C88" s="20">
        <v>1</v>
      </c>
      <c r="D88" s="18">
        <v>99</v>
      </c>
      <c r="E88" s="20" t="s">
        <v>6022</v>
      </c>
      <c r="F88" s="17" t="s">
        <v>263</v>
      </c>
      <c r="G88" s="19" t="s">
        <v>116</v>
      </c>
      <c r="H88" s="18">
        <v>24.226666666666667</v>
      </c>
      <c r="I88" s="17" t="s">
        <v>1363</v>
      </c>
      <c r="J88" s="17" t="s">
        <v>1362</v>
      </c>
      <c r="K88" s="17"/>
      <c r="L88" s="17"/>
      <c r="M88" s="16" t="str">
        <f>HYPERLINK("http://slimages.macys.com/is/image/MCY/19038542 ")</f>
        <v xml:space="preserve">http://slimages.macys.com/is/image/MCY/19038542 </v>
      </c>
      <c r="N88" s="30"/>
    </row>
    <row r="89" spans="1:14" ht="60" x14ac:dyDescent="0.25">
      <c r="A89" s="19" t="s">
        <v>7695</v>
      </c>
      <c r="B89" s="17" t="s">
        <v>7694</v>
      </c>
      <c r="C89" s="20">
        <v>2</v>
      </c>
      <c r="D89" s="18">
        <v>129</v>
      </c>
      <c r="E89" s="20">
        <v>10762084</v>
      </c>
      <c r="F89" s="17" t="s">
        <v>63</v>
      </c>
      <c r="G89" s="19" t="s">
        <v>682</v>
      </c>
      <c r="H89" s="18">
        <v>24.080000000000002</v>
      </c>
      <c r="I89" s="17" t="s">
        <v>115</v>
      </c>
      <c r="J89" s="17" t="s">
        <v>114</v>
      </c>
      <c r="K89" s="17"/>
      <c r="L89" s="17"/>
      <c r="M89" s="16" t="str">
        <f>HYPERLINK("http://slimages.macys.com/is/image/MCY/16905960 ")</f>
        <v xml:space="preserve">http://slimages.macys.com/is/image/MCY/16905960 </v>
      </c>
      <c r="N89" s="30"/>
    </row>
    <row r="90" spans="1:14" ht="96" x14ac:dyDescent="0.25">
      <c r="A90" s="19" t="s">
        <v>7693</v>
      </c>
      <c r="B90" s="17" t="s">
        <v>7692</v>
      </c>
      <c r="C90" s="20">
        <v>1</v>
      </c>
      <c r="D90" s="18">
        <v>119</v>
      </c>
      <c r="E90" s="20" t="s">
        <v>3991</v>
      </c>
      <c r="F90" s="17" t="s">
        <v>35</v>
      </c>
      <c r="G90" s="19" t="s">
        <v>916</v>
      </c>
      <c r="H90" s="18">
        <v>24</v>
      </c>
      <c r="I90" s="17" t="s">
        <v>550</v>
      </c>
      <c r="J90" s="17" t="s">
        <v>1448</v>
      </c>
      <c r="K90" s="17" t="s">
        <v>389</v>
      </c>
      <c r="L90" s="17" t="s">
        <v>3990</v>
      </c>
      <c r="M90" s="16" t="str">
        <f>HYPERLINK("http://slimages.macys.com/is/image/MCY/11385180 ")</f>
        <v xml:space="preserve">http://slimages.macys.com/is/image/MCY/11385180 </v>
      </c>
      <c r="N90" s="30"/>
    </row>
    <row r="91" spans="1:14" ht="96" x14ac:dyDescent="0.25">
      <c r="A91" s="19" t="s">
        <v>7691</v>
      </c>
      <c r="B91" s="17" t="s">
        <v>7690</v>
      </c>
      <c r="C91" s="20">
        <v>1</v>
      </c>
      <c r="D91" s="18">
        <v>119</v>
      </c>
      <c r="E91" s="20" t="s">
        <v>3991</v>
      </c>
      <c r="F91" s="17" t="s">
        <v>35</v>
      </c>
      <c r="G91" s="19" t="s">
        <v>1292</v>
      </c>
      <c r="H91" s="18">
        <v>24</v>
      </c>
      <c r="I91" s="17" t="s">
        <v>550</v>
      </c>
      <c r="J91" s="17" t="s">
        <v>1448</v>
      </c>
      <c r="K91" s="17" t="s">
        <v>389</v>
      </c>
      <c r="L91" s="17" t="s">
        <v>3990</v>
      </c>
      <c r="M91" s="16" t="str">
        <f>HYPERLINK("http://slimages.macys.com/is/image/MCY/11385180 ")</f>
        <v xml:space="preserve">http://slimages.macys.com/is/image/MCY/11385180 </v>
      </c>
      <c r="N91" s="30"/>
    </row>
    <row r="92" spans="1:14" ht="60" x14ac:dyDescent="0.25">
      <c r="A92" s="19" t="s">
        <v>7689</v>
      </c>
      <c r="B92" s="17" t="s">
        <v>7688</v>
      </c>
      <c r="C92" s="20">
        <v>1</v>
      </c>
      <c r="D92" s="18">
        <v>108</v>
      </c>
      <c r="E92" s="20" t="s">
        <v>7680</v>
      </c>
      <c r="F92" s="17" t="s">
        <v>58</v>
      </c>
      <c r="G92" s="19" t="s">
        <v>62</v>
      </c>
      <c r="H92" s="18">
        <v>23.833333333333336</v>
      </c>
      <c r="I92" s="17" t="s">
        <v>49</v>
      </c>
      <c r="J92" s="17" t="s">
        <v>48</v>
      </c>
      <c r="K92" s="17"/>
      <c r="L92" s="17"/>
      <c r="M92" s="16" t="str">
        <f>HYPERLINK("http://slimages.macys.com/is/image/MCY/19177576 ")</f>
        <v xml:space="preserve">http://slimages.macys.com/is/image/MCY/19177576 </v>
      </c>
      <c r="N92" s="30"/>
    </row>
    <row r="93" spans="1:14" ht="60" x14ac:dyDescent="0.25">
      <c r="A93" s="19" t="s">
        <v>7687</v>
      </c>
      <c r="B93" s="17" t="s">
        <v>7686</v>
      </c>
      <c r="C93" s="20">
        <v>1</v>
      </c>
      <c r="D93" s="18">
        <v>108</v>
      </c>
      <c r="E93" s="20" t="s">
        <v>6015</v>
      </c>
      <c r="F93" s="17" t="s">
        <v>23</v>
      </c>
      <c r="G93" s="19" t="s">
        <v>22</v>
      </c>
      <c r="H93" s="18">
        <v>23.833333333333336</v>
      </c>
      <c r="I93" s="17" t="s">
        <v>49</v>
      </c>
      <c r="J93" s="17" t="s">
        <v>48</v>
      </c>
      <c r="K93" s="17"/>
      <c r="L93" s="17"/>
      <c r="M93" s="16" t="str">
        <f>HYPERLINK("http://slimages.macys.com/is/image/MCY/19177585 ")</f>
        <v xml:space="preserve">http://slimages.macys.com/is/image/MCY/19177585 </v>
      </c>
      <c r="N93" s="30"/>
    </row>
    <row r="94" spans="1:14" ht="60" x14ac:dyDescent="0.25">
      <c r="A94" s="19" t="s">
        <v>6841</v>
      </c>
      <c r="B94" s="17" t="s">
        <v>6840</v>
      </c>
      <c r="C94" s="20">
        <v>13</v>
      </c>
      <c r="D94" s="18">
        <v>108</v>
      </c>
      <c r="E94" s="20" t="s">
        <v>717</v>
      </c>
      <c r="F94" s="17" t="s">
        <v>716</v>
      </c>
      <c r="G94" s="19" t="s">
        <v>17</v>
      </c>
      <c r="H94" s="18">
        <v>23.833333333333336</v>
      </c>
      <c r="I94" s="17" t="s">
        <v>49</v>
      </c>
      <c r="J94" s="17" t="s">
        <v>48</v>
      </c>
      <c r="K94" s="17"/>
      <c r="L94" s="17"/>
      <c r="M94" s="16" t="str">
        <f>HYPERLINK("http://slimages.macys.com/is/image/MCY/18990338 ")</f>
        <v xml:space="preserve">http://slimages.macys.com/is/image/MCY/18990338 </v>
      </c>
      <c r="N94" s="30"/>
    </row>
    <row r="95" spans="1:14" ht="60" x14ac:dyDescent="0.25">
      <c r="A95" s="19" t="s">
        <v>7685</v>
      </c>
      <c r="B95" s="17" t="s">
        <v>7684</v>
      </c>
      <c r="C95" s="20">
        <v>1</v>
      </c>
      <c r="D95" s="18">
        <v>108</v>
      </c>
      <c r="E95" s="20" t="s">
        <v>7683</v>
      </c>
      <c r="F95" s="17" t="s">
        <v>345</v>
      </c>
      <c r="G95" s="19"/>
      <c r="H95" s="18">
        <v>23.833333333333336</v>
      </c>
      <c r="I95" s="17" t="s">
        <v>49</v>
      </c>
      <c r="J95" s="17" t="s">
        <v>48</v>
      </c>
      <c r="K95" s="17"/>
      <c r="L95" s="17"/>
      <c r="M95" s="16" t="str">
        <f>HYPERLINK("http://slimages.macys.com/is/image/MCY/18750278 ")</f>
        <v xml:space="preserve">http://slimages.macys.com/is/image/MCY/18750278 </v>
      </c>
      <c r="N95" s="30"/>
    </row>
    <row r="96" spans="1:14" ht="60" x14ac:dyDescent="0.25">
      <c r="A96" s="19" t="s">
        <v>7682</v>
      </c>
      <c r="B96" s="17" t="s">
        <v>7681</v>
      </c>
      <c r="C96" s="20">
        <v>1</v>
      </c>
      <c r="D96" s="18">
        <v>108</v>
      </c>
      <c r="E96" s="20" t="s">
        <v>7680</v>
      </c>
      <c r="F96" s="17" t="s">
        <v>58</v>
      </c>
      <c r="G96" s="19" t="s">
        <v>101</v>
      </c>
      <c r="H96" s="18">
        <v>23.833333333333336</v>
      </c>
      <c r="I96" s="17" t="s">
        <v>49</v>
      </c>
      <c r="J96" s="17" t="s">
        <v>48</v>
      </c>
      <c r="K96" s="17"/>
      <c r="L96" s="17"/>
      <c r="M96" s="16" t="str">
        <f>HYPERLINK("http://slimages.macys.com/is/image/MCY/19177576 ")</f>
        <v xml:space="preserve">http://slimages.macys.com/is/image/MCY/19177576 </v>
      </c>
      <c r="N96" s="30"/>
    </row>
    <row r="97" spans="1:14" ht="60" x14ac:dyDescent="0.25">
      <c r="A97" s="19" t="s">
        <v>7679</v>
      </c>
      <c r="B97" s="17" t="s">
        <v>7678</v>
      </c>
      <c r="C97" s="20">
        <v>1</v>
      </c>
      <c r="D97" s="18">
        <v>129</v>
      </c>
      <c r="E97" s="20" t="s">
        <v>7677</v>
      </c>
      <c r="F97" s="17" t="s">
        <v>23</v>
      </c>
      <c r="G97" s="19" t="s">
        <v>74</v>
      </c>
      <c r="H97" s="18">
        <v>23.82</v>
      </c>
      <c r="I97" s="17" t="s">
        <v>405</v>
      </c>
      <c r="J97" s="17" t="s">
        <v>404</v>
      </c>
      <c r="K97" s="17"/>
      <c r="L97" s="17"/>
      <c r="M97" s="16" t="str">
        <f>HYPERLINK("http://slimages.macys.com/is/image/MCY/18867827 ")</f>
        <v xml:space="preserve">http://slimages.macys.com/is/image/MCY/18867827 </v>
      </c>
      <c r="N97" s="30"/>
    </row>
    <row r="98" spans="1:14" ht="60" x14ac:dyDescent="0.25">
      <c r="A98" s="19" t="s">
        <v>7676</v>
      </c>
      <c r="B98" s="17" t="s">
        <v>7675</v>
      </c>
      <c r="C98" s="20">
        <v>1</v>
      </c>
      <c r="D98" s="18">
        <v>98</v>
      </c>
      <c r="E98" s="20" t="s">
        <v>7674</v>
      </c>
      <c r="F98" s="17" t="s">
        <v>1536</v>
      </c>
      <c r="G98" s="19" t="s">
        <v>1862</v>
      </c>
      <c r="H98" s="18">
        <v>23.380000000000003</v>
      </c>
      <c r="I98" s="17" t="s">
        <v>133</v>
      </c>
      <c r="J98" s="17" t="s">
        <v>584</v>
      </c>
      <c r="K98" s="17"/>
      <c r="L98" s="17"/>
      <c r="M98" s="16" t="str">
        <f>HYPERLINK("http://slimages.macys.com/is/image/MCY/18771705 ")</f>
        <v xml:space="preserve">http://slimages.macys.com/is/image/MCY/18771705 </v>
      </c>
      <c r="N98" s="30"/>
    </row>
    <row r="99" spans="1:14" ht="60" x14ac:dyDescent="0.25">
      <c r="A99" s="19" t="s">
        <v>7673</v>
      </c>
      <c r="B99" s="17" t="s">
        <v>7672</v>
      </c>
      <c r="C99" s="20">
        <v>1</v>
      </c>
      <c r="D99" s="18">
        <v>80</v>
      </c>
      <c r="E99" s="20" t="s">
        <v>7671</v>
      </c>
      <c r="F99" s="17" t="s">
        <v>23</v>
      </c>
      <c r="G99" s="19" t="s">
        <v>57</v>
      </c>
      <c r="H99" s="18">
        <v>23.333333333333336</v>
      </c>
      <c r="I99" s="17" t="s">
        <v>133</v>
      </c>
      <c r="J99" s="17" t="s">
        <v>6898</v>
      </c>
      <c r="K99" s="17"/>
      <c r="L99" s="17"/>
      <c r="M99" s="16" t="str">
        <f>HYPERLINK("http://slimages.macys.com/is/image/MCY/19110435 ")</f>
        <v xml:space="preserve">http://slimages.macys.com/is/image/MCY/19110435 </v>
      </c>
      <c r="N99" s="30"/>
    </row>
    <row r="100" spans="1:14" ht="60" x14ac:dyDescent="0.25">
      <c r="A100" s="19" t="s">
        <v>7670</v>
      </c>
      <c r="B100" s="17" t="s">
        <v>7669</v>
      </c>
      <c r="C100" s="20">
        <v>1</v>
      </c>
      <c r="D100" s="18">
        <v>129</v>
      </c>
      <c r="E100" s="20">
        <v>10734464</v>
      </c>
      <c r="F100" s="17" t="s">
        <v>508</v>
      </c>
      <c r="G100" s="19" t="s">
        <v>116</v>
      </c>
      <c r="H100" s="18">
        <v>23.220000000000002</v>
      </c>
      <c r="I100" s="17" t="s">
        <v>144</v>
      </c>
      <c r="J100" s="17" t="s">
        <v>143</v>
      </c>
      <c r="K100" s="17" t="s">
        <v>389</v>
      </c>
      <c r="L100" s="17" t="s">
        <v>1154</v>
      </c>
      <c r="M100" s="16" t="str">
        <f>HYPERLINK("http://slimages.macys.com/is/image/MCY/15213004 ")</f>
        <v xml:space="preserve">http://slimages.macys.com/is/image/MCY/15213004 </v>
      </c>
      <c r="N100" s="30"/>
    </row>
    <row r="101" spans="1:14" ht="60" x14ac:dyDescent="0.25">
      <c r="A101" s="19" t="s">
        <v>7668</v>
      </c>
      <c r="B101" s="17" t="s">
        <v>7667</v>
      </c>
      <c r="C101" s="20">
        <v>1</v>
      </c>
      <c r="D101" s="18">
        <v>139</v>
      </c>
      <c r="E101" s="20">
        <v>7030958</v>
      </c>
      <c r="F101" s="17" t="s">
        <v>433</v>
      </c>
      <c r="G101" s="19" t="s">
        <v>116</v>
      </c>
      <c r="H101" s="18">
        <v>23.166666666666668</v>
      </c>
      <c r="I101" s="17" t="s">
        <v>111</v>
      </c>
      <c r="J101" s="17" t="s">
        <v>110</v>
      </c>
      <c r="K101" s="17"/>
      <c r="L101" s="17"/>
      <c r="M101" s="16" t="str">
        <f>HYPERLINK("http://slimages.macys.com/is/image/MCY/17227379 ")</f>
        <v xml:space="preserve">http://slimages.macys.com/is/image/MCY/17227379 </v>
      </c>
      <c r="N101" s="30"/>
    </row>
    <row r="102" spans="1:14" ht="60" x14ac:dyDescent="0.25">
      <c r="A102" s="19" t="s">
        <v>7666</v>
      </c>
      <c r="B102" s="17" t="s">
        <v>7665</v>
      </c>
      <c r="C102" s="20">
        <v>1</v>
      </c>
      <c r="D102" s="18">
        <v>139</v>
      </c>
      <c r="E102" s="20">
        <v>10766268</v>
      </c>
      <c r="F102" s="17" t="s">
        <v>51</v>
      </c>
      <c r="G102" s="19" t="s">
        <v>69</v>
      </c>
      <c r="H102" s="18">
        <v>23.166666666666668</v>
      </c>
      <c r="I102" s="17" t="s">
        <v>120</v>
      </c>
      <c r="J102" s="17" t="s">
        <v>119</v>
      </c>
      <c r="K102" s="17"/>
      <c r="L102" s="17"/>
      <c r="M102" s="16" t="str">
        <f>HYPERLINK("http://slimages.macys.com/is/image/MCY/17773920 ")</f>
        <v xml:space="preserve">http://slimages.macys.com/is/image/MCY/17773920 </v>
      </c>
      <c r="N102" s="30"/>
    </row>
    <row r="103" spans="1:14" ht="60" x14ac:dyDescent="0.25">
      <c r="A103" s="19" t="s">
        <v>7664</v>
      </c>
      <c r="B103" s="17" t="s">
        <v>7663</v>
      </c>
      <c r="C103" s="20">
        <v>1</v>
      </c>
      <c r="D103" s="18">
        <v>109.5</v>
      </c>
      <c r="E103" s="20" t="s">
        <v>7662</v>
      </c>
      <c r="F103" s="17" t="s">
        <v>23</v>
      </c>
      <c r="G103" s="19" t="s">
        <v>74</v>
      </c>
      <c r="H103" s="18">
        <v>22.060000000000002</v>
      </c>
      <c r="I103" s="17" t="s">
        <v>106</v>
      </c>
      <c r="J103" s="17" t="s">
        <v>105</v>
      </c>
      <c r="K103" s="17"/>
      <c r="L103" s="17"/>
      <c r="M103" s="16" t="str">
        <f>HYPERLINK("http://slimages.macys.com/is/image/MCY/19195523 ")</f>
        <v xml:space="preserve">http://slimages.macys.com/is/image/MCY/19195523 </v>
      </c>
      <c r="N103" s="30"/>
    </row>
    <row r="104" spans="1:14" ht="60" x14ac:dyDescent="0.25">
      <c r="A104" s="19" t="s">
        <v>7661</v>
      </c>
      <c r="B104" s="17" t="s">
        <v>7660</v>
      </c>
      <c r="C104" s="20">
        <v>3</v>
      </c>
      <c r="D104" s="18">
        <v>72</v>
      </c>
      <c r="E104" s="20" t="s">
        <v>3966</v>
      </c>
      <c r="F104" s="17" t="s">
        <v>23</v>
      </c>
      <c r="G104" s="19" t="s">
        <v>197</v>
      </c>
      <c r="H104" s="18">
        <v>22</v>
      </c>
      <c r="I104" s="17" t="s">
        <v>133</v>
      </c>
      <c r="J104" s="17" t="s">
        <v>1437</v>
      </c>
      <c r="K104" s="17" t="s">
        <v>3965</v>
      </c>
      <c r="L104" s="17" t="s">
        <v>3964</v>
      </c>
      <c r="M104" s="16" t="str">
        <f>HYPERLINK("http://images.bloomingdales.com/is/image/BLM/10686975 ")</f>
        <v xml:space="preserve">http://images.bloomingdales.com/is/image/BLM/10686975 </v>
      </c>
      <c r="N104" s="30"/>
    </row>
    <row r="105" spans="1:14" ht="60" x14ac:dyDescent="0.25">
      <c r="A105" s="19" t="s">
        <v>7659</v>
      </c>
      <c r="B105" s="17" t="s">
        <v>7658</v>
      </c>
      <c r="C105" s="20">
        <v>1</v>
      </c>
      <c r="D105" s="18">
        <v>72</v>
      </c>
      <c r="E105" s="20" t="s">
        <v>3966</v>
      </c>
      <c r="F105" s="17" t="s">
        <v>23</v>
      </c>
      <c r="G105" s="19" t="s">
        <v>62</v>
      </c>
      <c r="H105" s="18">
        <v>22</v>
      </c>
      <c r="I105" s="17" t="s">
        <v>133</v>
      </c>
      <c r="J105" s="17" t="s">
        <v>1437</v>
      </c>
      <c r="K105" s="17" t="s">
        <v>3965</v>
      </c>
      <c r="L105" s="17" t="s">
        <v>3964</v>
      </c>
      <c r="M105" s="16" t="str">
        <f>HYPERLINK("http://images.bloomingdales.com/is/image/BLM/10686975 ")</f>
        <v xml:space="preserve">http://images.bloomingdales.com/is/image/BLM/10686975 </v>
      </c>
      <c r="N105" s="30"/>
    </row>
    <row r="106" spans="1:14" ht="60" x14ac:dyDescent="0.25">
      <c r="A106" s="19" t="s">
        <v>3955</v>
      </c>
      <c r="B106" s="17" t="s">
        <v>3954</v>
      </c>
      <c r="C106" s="20">
        <v>1</v>
      </c>
      <c r="D106" s="18">
        <v>109</v>
      </c>
      <c r="E106" s="20">
        <v>10807724</v>
      </c>
      <c r="F106" s="17" t="s">
        <v>282</v>
      </c>
      <c r="G106" s="19" t="s">
        <v>351</v>
      </c>
      <c r="H106" s="18">
        <v>21.8</v>
      </c>
      <c r="I106" s="17" t="s">
        <v>358</v>
      </c>
      <c r="J106" s="17" t="s">
        <v>554</v>
      </c>
      <c r="K106" s="17"/>
      <c r="L106" s="17"/>
      <c r="M106" s="16" t="str">
        <f>HYPERLINK("http://slimages.macys.com/is/image/MCY/19205622 ")</f>
        <v xml:space="preserve">http://slimages.macys.com/is/image/MCY/19205622 </v>
      </c>
      <c r="N106" s="30"/>
    </row>
    <row r="107" spans="1:14" ht="84" x14ac:dyDescent="0.25">
      <c r="A107" s="19" t="s">
        <v>7657</v>
      </c>
      <c r="B107" s="17" t="s">
        <v>7656</v>
      </c>
      <c r="C107" s="20">
        <v>1</v>
      </c>
      <c r="D107" s="18">
        <v>89</v>
      </c>
      <c r="E107" s="20" t="s">
        <v>2116</v>
      </c>
      <c r="F107" s="17" t="s">
        <v>91</v>
      </c>
      <c r="G107" s="19" t="s">
        <v>682</v>
      </c>
      <c r="H107" s="18">
        <v>21.666666666666668</v>
      </c>
      <c r="I107" s="17" t="s">
        <v>678</v>
      </c>
      <c r="J107" s="17" t="s">
        <v>404</v>
      </c>
      <c r="K107" s="17" t="s">
        <v>389</v>
      </c>
      <c r="L107" s="17" t="s">
        <v>2115</v>
      </c>
      <c r="M107" s="16" t="str">
        <f>HYPERLINK("http://slimages.macys.com/is/image/MCY/8809233 ")</f>
        <v xml:space="preserve">http://slimages.macys.com/is/image/MCY/8809233 </v>
      </c>
      <c r="N107" s="30"/>
    </row>
    <row r="108" spans="1:14" ht="60" x14ac:dyDescent="0.25">
      <c r="A108" s="19" t="s">
        <v>7655</v>
      </c>
      <c r="B108" s="17" t="s">
        <v>7654</v>
      </c>
      <c r="C108" s="20">
        <v>1</v>
      </c>
      <c r="D108" s="18">
        <v>98</v>
      </c>
      <c r="E108" s="20" t="s">
        <v>7653</v>
      </c>
      <c r="F108" s="17" t="s">
        <v>23</v>
      </c>
      <c r="G108" s="19" t="s">
        <v>7652</v>
      </c>
      <c r="H108" s="18">
        <v>21.626666666666669</v>
      </c>
      <c r="I108" s="17" t="s">
        <v>49</v>
      </c>
      <c r="J108" s="17" t="s">
        <v>48</v>
      </c>
      <c r="K108" s="17"/>
      <c r="L108" s="17"/>
      <c r="M108" s="16" t="str">
        <f>HYPERLINK("http://slimages.macys.com/is/image/MCY/18749944 ")</f>
        <v xml:space="preserve">http://slimages.macys.com/is/image/MCY/18749944 </v>
      </c>
      <c r="N108" s="30"/>
    </row>
    <row r="109" spans="1:14" ht="60" x14ac:dyDescent="0.25">
      <c r="A109" s="19" t="s">
        <v>7651</v>
      </c>
      <c r="B109" s="17" t="s">
        <v>7650</v>
      </c>
      <c r="C109" s="20">
        <v>1</v>
      </c>
      <c r="D109" s="18">
        <v>98</v>
      </c>
      <c r="E109" s="20" t="s">
        <v>7649</v>
      </c>
      <c r="F109" s="17" t="s">
        <v>51</v>
      </c>
      <c r="G109" s="19" t="s">
        <v>62</v>
      </c>
      <c r="H109" s="18">
        <v>21.626666666666669</v>
      </c>
      <c r="I109" s="17" t="s">
        <v>49</v>
      </c>
      <c r="J109" s="17" t="s">
        <v>48</v>
      </c>
      <c r="K109" s="17"/>
      <c r="L109" s="17"/>
      <c r="M109" s="16" t="str">
        <f>HYPERLINK("http://slimages.macys.com/is/image/MCY/18983358 ")</f>
        <v xml:space="preserve">http://slimages.macys.com/is/image/MCY/18983358 </v>
      </c>
      <c r="N109" s="30"/>
    </row>
    <row r="110" spans="1:14" ht="84" x14ac:dyDescent="0.25">
      <c r="A110" s="19" t="s">
        <v>7648</v>
      </c>
      <c r="B110" s="17" t="s">
        <v>7647</v>
      </c>
      <c r="C110" s="20">
        <v>1</v>
      </c>
      <c r="D110" s="18">
        <v>98</v>
      </c>
      <c r="E110" s="20" t="s">
        <v>7646</v>
      </c>
      <c r="F110" s="17" t="s">
        <v>345</v>
      </c>
      <c r="G110" s="19" t="s">
        <v>22</v>
      </c>
      <c r="H110" s="18">
        <v>21.626666666666669</v>
      </c>
      <c r="I110" s="17" t="s">
        <v>49</v>
      </c>
      <c r="J110" s="17" t="s">
        <v>48</v>
      </c>
      <c r="K110" s="17" t="s">
        <v>389</v>
      </c>
      <c r="L110" s="17" t="s">
        <v>7645</v>
      </c>
      <c r="M110" s="16" t="str">
        <f>HYPERLINK("http://slimages.macys.com/is/image/MCY/16502192 ")</f>
        <v xml:space="preserve">http://slimages.macys.com/is/image/MCY/16502192 </v>
      </c>
      <c r="N110" s="30"/>
    </row>
    <row r="111" spans="1:14" ht="60" x14ac:dyDescent="0.25">
      <c r="A111" s="19" t="s">
        <v>7644</v>
      </c>
      <c r="B111" s="17" t="s">
        <v>7643</v>
      </c>
      <c r="C111" s="20">
        <v>1</v>
      </c>
      <c r="D111" s="18">
        <v>119</v>
      </c>
      <c r="E111" s="20" t="s">
        <v>7642</v>
      </c>
      <c r="F111" s="17" t="s">
        <v>578</v>
      </c>
      <c r="G111" s="19" t="s">
        <v>2131</v>
      </c>
      <c r="H111" s="18">
        <v>21.333333333333336</v>
      </c>
      <c r="I111" s="17" t="s">
        <v>115</v>
      </c>
      <c r="J111" s="17" t="s">
        <v>2130</v>
      </c>
      <c r="K111" s="17"/>
      <c r="L111" s="17"/>
      <c r="M111" s="16" t="str">
        <f>HYPERLINK("http://slimages.macys.com/is/image/MCY/18746619 ")</f>
        <v xml:space="preserve">http://slimages.macys.com/is/image/MCY/18746619 </v>
      </c>
      <c r="N111" s="30"/>
    </row>
    <row r="112" spans="1:14" ht="60" x14ac:dyDescent="0.25">
      <c r="A112" s="19" t="s">
        <v>6803</v>
      </c>
      <c r="B112" s="17" t="s">
        <v>6802</v>
      </c>
      <c r="C112" s="20">
        <v>1</v>
      </c>
      <c r="D112" s="18">
        <v>115</v>
      </c>
      <c r="E112" s="20" t="s">
        <v>6801</v>
      </c>
      <c r="F112" s="17" t="s">
        <v>23</v>
      </c>
      <c r="G112" s="19" t="s">
        <v>74</v>
      </c>
      <c r="H112" s="18">
        <v>21.240000000000002</v>
      </c>
      <c r="I112" s="17" t="s">
        <v>405</v>
      </c>
      <c r="J112" s="17" t="s">
        <v>404</v>
      </c>
      <c r="K112" s="17"/>
      <c r="L112" s="17"/>
      <c r="M112" s="16" t="str">
        <f>HYPERLINK("http://slimages.macys.com/is/image/MCY/18867897 ")</f>
        <v xml:space="preserve">http://slimages.macys.com/is/image/MCY/18867897 </v>
      </c>
      <c r="N112" s="30"/>
    </row>
    <row r="113" spans="1:14" ht="60" x14ac:dyDescent="0.25">
      <c r="A113" s="19" t="s">
        <v>7641</v>
      </c>
      <c r="B113" s="17" t="s">
        <v>7640</v>
      </c>
      <c r="C113" s="20">
        <v>1</v>
      </c>
      <c r="D113" s="18">
        <v>115</v>
      </c>
      <c r="E113" s="20" t="s">
        <v>7639</v>
      </c>
      <c r="F113" s="17" t="s">
        <v>23</v>
      </c>
      <c r="G113" s="19" t="s">
        <v>69</v>
      </c>
      <c r="H113" s="18">
        <v>21.240000000000002</v>
      </c>
      <c r="I113" s="17" t="s">
        <v>405</v>
      </c>
      <c r="J113" s="17" t="s">
        <v>404</v>
      </c>
      <c r="K113" s="17"/>
      <c r="L113" s="17"/>
      <c r="M113" s="16" t="str">
        <f>HYPERLINK("http://slimages.macys.com/is/image/MCY/17530852 ")</f>
        <v xml:space="preserve">http://slimages.macys.com/is/image/MCY/17530852 </v>
      </c>
      <c r="N113" s="30"/>
    </row>
    <row r="114" spans="1:14" ht="60" x14ac:dyDescent="0.25">
      <c r="A114" s="19" t="s">
        <v>7638</v>
      </c>
      <c r="B114" s="17" t="s">
        <v>7637</v>
      </c>
      <c r="C114" s="20">
        <v>2</v>
      </c>
      <c r="D114" s="18">
        <v>115</v>
      </c>
      <c r="E114" s="20" t="s">
        <v>6801</v>
      </c>
      <c r="F114" s="17" t="s">
        <v>23</v>
      </c>
      <c r="G114" s="19" t="s">
        <v>197</v>
      </c>
      <c r="H114" s="18">
        <v>21.240000000000002</v>
      </c>
      <c r="I114" s="17" t="s">
        <v>405</v>
      </c>
      <c r="J114" s="17" t="s">
        <v>404</v>
      </c>
      <c r="K114" s="17"/>
      <c r="L114" s="17"/>
      <c r="M114" s="16" t="str">
        <f>HYPERLINK("http://slimages.macys.com/is/image/MCY/18867897 ")</f>
        <v xml:space="preserve">http://slimages.macys.com/is/image/MCY/18867897 </v>
      </c>
      <c r="N114" s="30"/>
    </row>
    <row r="115" spans="1:14" ht="60" x14ac:dyDescent="0.25">
      <c r="A115" s="19" t="s">
        <v>7636</v>
      </c>
      <c r="B115" s="17" t="s">
        <v>7635</v>
      </c>
      <c r="C115" s="20">
        <v>1</v>
      </c>
      <c r="D115" s="18">
        <v>98</v>
      </c>
      <c r="E115" s="20" t="s">
        <v>2104</v>
      </c>
      <c r="F115" s="17" t="s">
        <v>35</v>
      </c>
      <c r="G115" s="19" t="s">
        <v>50</v>
      </c>
      <c r="H115" s="18">
        <v>20.90666666666667</v>
      </c>
      <c r="I115" s="17" t="s">
        <v>49</v>
      </c>
      <c r="J115" s="17" t="s">
        <v>48</v>
      </c>
      <c r="K115" s="17"/>
      <c r="L115" s="17"/>
      <c r="M115" s="16" t="str">
        <f>HYPERLINK("http://slimages.macys.com/is/image/MCY/18748460 ")</f>
        <v xml:space="preserve">http://slimages.macys.com/is/image/MCY/18748460 </v>
      </c>
      <c r="N115" s="30"/>
    </row>
    <row r="116" spans="1:14" ht="60" x14ac:dyDescent="0.25">
      <c r="A116" s="19" t="s">
        <v>6797</v>
      </c>
      <c r="B116" s="17" t="s">
        <v>6796</v>
      </c>
      <c r="C116" s="20">
        <v>1</v>
      </c>
      <c r="D116" s="18">
        <v>98</v>
      </c>
      <c r="E116" s="20" t="s">
        <v>2104</v>
      </c>
      <c r="F116" s="17" t="s">
        <v>1382</v>
      </c>
      <c r="G116" s="19" t="s">
        <v>62</v>
      </c>
      <c r="H116" s="18">
        <v>20.90666666666667</v>
      </c>
      <c r="I116" s="17" t="s">
        <v>49</v>
      </c>
      <c r="J116" s="17" t="s">
        <v>48</v>
      </c>
      <c r="K116" s="17"/>
      <c r="L116" s="17"/>
      <c r="M116" s="16" t="str">
        <f>HYPERLINK("http://slimages.macys.com/is/image/MCY/18610731 ")</f>
        <v xml:space="preserve">http://slimages.macys.com/is/image/MCY/18610731 </v>
      </c>
      <c r="N116" s="30"/>
    </row>
    <row r="117" spans="1:14" ht="60" x14ac:dyDescent="0.25">
      <c r="A117" s="19" t="s">
        <v>7634</v>
      </c>
      <c r="B117" s="17" t="s">
        <v>7633</v>
      </c>
      <c r="C117" s="20">
        <v>1</v>
      </c>
      <c r="D117" s="18">
        <v>74.25</v>
      </c>
      <c r="E117" s="20">
        <v>10803166</v>
      </c>
      <c r="F117" s="17" t="s">
        <v>1356</v>
      </c>
      <c r="G117" s="19" t="s">
        <v>271</v>
      </c>
      <c r="H117" s="18">
        <v>20.793333333333337</v>
      </c>
      <c r="I117" s="17" t="s">
        <v>358</v>
      </c>
      <c r="J117" s="17" t="s">
        <v>143</v>
      </c>
      <c r="K117" s="17"/>
      <c r="L117" s="17"/>
      <c r="M117" s="16" t="str">
        <f>HYPERLINK("http://slimages.macys.com/is/image/MCY/19286673 ")</f>
        <v xml:space="preserve">http://slimages.macys.com/is/image/MCY/19286673 </v>
      </c>
      <c r="N117" s="30"/>
    </row>
    <row r="118" spans="1:14" ht="60" x14ac:dyDescent="0.25">
      <c r="A118" s="19" t="s">
        <v>7632</v>
      </c>
      <c r="B118" s="17" t="s">
        <v>7631</v>
      </c>
      <c r="C118" s="20">
        <v>1</v>
      </c>
      <c r="D118" s="18">
        <v>124</v>
      </c>
      <c r="E118" s="20">
        <v>9260910</v>
      </c>
      <c r="F118" s="17" t="s">
        <v>2575</v>
      </c>
      <c r="G118" s="19" t="s">
        <v>1336</v>
      </c>
      <c r="H118" s="18">
        <v>20.666666666666668</v>
      </c>
      <c r="I118" s="17" t="s">
        <v>138</v>
      </c>
      <c r="J118" s="17" t="s">
        <v>137</v>
      </c>
      <c r="K118" s="17"/>
      <c r="L118" s="17"/>
      <c r="M118" s="16" t="str">
        <f>HYPERLINK("http://slimages.macys.com/is/image/MCY/18403970 ")</f>
        <v xml:space="preserve">http://slimages.macys.com/is/image/MCY/18403970 </v>
      </c>
      <c r="N118" s="30"/>
    </row>
    <row r="119" spans="1:14" ht="60" x14ac:dyDescent="0.25">
      <c r="A119" s="19" t="s">
        <v>5981</v>
      </c>
      <c r="B119" s="17" t="s">
        <v>5980</v>
      </c>
      <c r="C119" s="20">
        <v>2</v>
      </c>
      <c r="D119" s="18">
        <v>81.75</v>
      </c>
      <c r="E119" s="20" t="s">
        <v>3926</v>
      </c>
      <c r="F119" s="17" t="s">
        <v>1382</v>
      </c>
      <c r="G119" s="19" t="s">
        <v>1445</v>
      </c>
      <c r="H119" s="18">
        <v>20.573333333333334</v>
      </c>
      <c r="I119" s="17" t="s">
        <v>358</v>
      </c>
      <c r="J119" s="17" t="s">
        <v>32</v>
      </c>
      <c r="K119" s="17"/>
      <c r="L119" s="17"/>
      <c r="M119" s="16" t="str">
        <f>HYPERLINK("http://slimages.macys.com/is/image/MCY/19254769 ")</f>
        <v xml:space="preserve">http://slimages.macys.com/is/image/MCY/19254769 </v>
      </c>
      <c r="N119" s="30"/>
    </row>
    <row r="120" spans="1:14" ht="60" x14ac:dyDescent="0.25">
      <c r="A120" s="19" t="s">
        <v>7630</v>
      </c>
      <c r="B120" s="17" t="s">
        <v>7629</v>
      </c>
      <c r="C120" s="20">
        <v>1</v>
      </c>
      <c r="D120" s="18">
        <v>81.75</v>
      </c>
      <c r="E120" s="20" t="s">
        <v>3926</v>
      </c>
      <c r="F120" s="17" t="s">
        <v>1382</v>
      </c>
      <c r="G120" s="19" t="s">
        <v>880</v>
      </c>
      <c r="H120" s="18">
        <v>20.573333333333334</v>
      </c>
      <c r="I120" s="17" t="s">
        <v>358</v>
      </c>
      <c r="J120" s="17" t="s">
        <v>32</v>
      </c>
      <c r="K120" s="17"/>
      <c r="L120" s="17"/>
      <c r="M120" s="16" t="str">
        <f>HYPERLINK("http://slimages.macys.com/is/image/MCY/19254769 ")</f>
        <v xml:space="preserve">http://slimages.macys.com/is/image/MCY/19254769 </v>
      </c>
      <c r="N120" s="30"/>
    </row>
    <row r="121" spans="1:14" ht="60" x14ac:dyDescent="0.25">
      <c r="A121" s="19" t="s">
        <v>7628</v>
      </c>
      <c r="B121" s="17" t="s">
        <v>7627</v>
      </c>
      <c r="C121" s="20">
        <v>1</v>
      </c>
      <c r="D121" s="18">
        <v>81.75</v>
      </c>
      <c r="E121" s="20" t="s">
        <v>3926</v>
      </c>
      <c r="F121" s="17" t="s">
        <v>1382</v>
      </c>
      <c r="G121" s="19" t="s">
        <v>916</v>
      </c>
      <c r="H121" s="18">
        <v>20.573333333333334</v>
      </c>
      <c r="I121" s="17" t="s">
        <v>358</v>
      </c>
      <c r="J121" s="17" t="s">
        <v>32</v>
      </c>
      <c r="K121" s="17"/>
      <c r="L121" s="17"/>
      <c r="M121" s="16" t="str">
        <f>HYPERLINK("http://slimages.macys.com/is/image/MCY/19254769 ")</f>
        <v xml:space="preserve">http://slimages.macys.com/is/image/MCY/19254769 </v>
      </c>
      <c r="N121" s="30"/>
    </row>
    <row r="122" spans="1:14" ht="60" x14ac:dyDescent="0.25">
      <c r="A122" s="19" t="s">
        <v>6790</v>
      </c>
      <c r="B122" s="17" t="s">
        <v>6789</v>
      </c>
      <c r="C122" s="20">
        <v>10</v>
      </c>
      <c r="D122" s="18">
        <v>95</v>
      </c>
      <c r="E122" s="20" t="s">
        <v>5214</v>
      </c>
      <c r="F122" s="17" t="s">
        <v>23</v>
      </c>
      <c r="G122" s="19" t="s">
        <v>69</v>
      </c>
      <c r="H122" s="18">
        <v>20.166666666666668</v>
      </c>
      <c r="I122" s="17" t="s">
        <v>80</v>
      </c>
      <c r="J122" s="17" t="s">
        <v>531</v>
      </c>
      <c r="K122" s="17"/>
      <c r="L122" s="17"/>
      <c r="M122" s="16" t="str">
        <f>HYPERLINK("http://slimages.macys.com/is/image/MCY/18371399 ")</f>
        <v xml:space="preserve">http://slimages.macys.com/is/image/MCY/18371399 </v>
      </c>
      <c r="N122" s="30"/>
    </row>
    <row r="123" spans="1:14" ht="60" x14ac:dyDescent="0.25">
      <c r="A123" s="19" t="s">
        <v>6788</v>
      </c>
      <c r="B123" s="17" t="s">
        <v>6787</v>
      </c>
      <c r="C123" s="20">
        <v>3</v>
      </c>
      <c r="D123" s="18">
        <v>95</v>
      </c>
      <c r="E123" s="20" t="s">
        <v>5214</v>
      </c>
      <c r="F123" s="17" t="s">
        <v>23</v>
      </c>
      <c r="G123" s="19" t="s">
        <v>62</v>
      </c>
      <c r="H123" s="18">
        <v>20.166666666666668</v>
      </c>
      <c r="I123" s="17" t="s">
        <v>80</v>
      </c>
      <c r="J123" s="17" t="s">
        <v>531</v>
      </c>
      <c r="K123" s="17"/>
      <c r="L123" s="17"/>
      <c r="M123" s="16" t="str">
        <f>HYPERLINK("http://slimages.macys.com/is/image/MCY/18371399 ")</f>
        <v xml:space="preserve">http://slimages.macys.com/is/image/MCY/18371399 </v>
      </c>
      <c r="N123" s="30"/>
    </row>
    <row r="124" spans="1:14" ht="60" x14ac:dyDescent="0.25">
      <c r="A124" s="19" t="s">
        <v>7626</v>
      </c>
      <c r="B124" s="17" t="s">
        <v>7625</v>
      </c>
      <c r="C124" s="20">
        <v>4</v>
      </c>
      <c r="D124" s="18">
        <v>95</v>
      </c>
      <c r="E124" s="20" t="s">
        <v>5214</v>
      </c>
      <c r="F124" s="17" t="s">
        <v>23</v>
      </c>
      <c r="G124" s="19" t="s">
        <v>74</v>
      </c>
      <c r="H124" s="18">
        <v>20.166666666666668</v>
      </c>
      <c r="I124" s="17" t="s">
        <v>80</v>
      </c>
      <c r="J124" s="17" t="s">
        <v>531</v>
      </c>
      <c r="K124" s="17"/>
      <c r="L124" s="17"/>
      <c r="M124" s="16" t="str">
        <f>HYPERLINK("http://slimages.macys.com/is/image/MCY/18371399 ")</f>
        <v xml:space="preserve">http://slimages.macys.com/is/image/MCY/18371399 </v>
      </c>
      <c r="N124" s="30"/>
    </row>
    <row r="125" spans="1:14" ht="72" x14ac:dyDescent="0.25">
      <c r="A125" s="19" t="s">
        <v>7624</v>
      </c>
      <c r="B125" s="17" t="s">
        <v>7623</v>
      </c>
      <c r="C125" s="20">
        <v>1</v>
      </c>
      <c r="D125" s="18">
        <v>111.75</v>
      </c>
      <c r="E125" s="20" t="s">
        <v>7622</v>
      </c>
      <c r="F125" s="17" t="s">
        <v>562</v>
      </c>
      <c r="G125" s="19" t="s">
        <v>1292</v>
      </c>
      <c r="H125" s="18">
        <v>20.113333333333333</v>
      </c>
      <c r="I125" s="17" t="s">
        <v>358</v>
      </c>
      <c r="J125" s="17" t="s">
        <v>32</v>
      </c>
      <c r="K125" s="17" t="s">
        <v>389</v>
      </c>
      <c r="L125" s="17" t="s">
        <v>668</v>
      </c>
      <c r="M125" s="16" t="str">
        <f>HYPERLINK("http://slimages.macys.com/is/image/MCY/14337227 ")</f>
        <v xml:space="preserve">http://slimages.macys.com/is/image/MCY/14337227 </v>
      </c>
      <c r="N125" s="30"/>
    </row>
    <row r="126" spans="1:14" ht="60" x14ac:dyDescent="0.25">
      <c r="A126" s="19" t="s">
        <v>2066</v>
      </c>
      <c r="B126" s="17" t="s">
        <v>2065</v>
      </c>
      <c r="C126" s="20">
        <v>1</v>
      </c>
      <c r="D126" s="18">
        <v>75</v>
      </c>
      <c r="E126" s="20">
        <v>1013</v>
      </c>
      <c r="F126" s="17" t="s">
        <v>237</v>
      </c>
      <c r="G126" s="19" t="s">
        <v>57</v>
      </c>
      <c r="H126" s="18">
        <v>20</v>
      </c>
      <c r="I126" s="17" t="s">
        <v>133</v>
      </c>
      <c r="J126" s="17" t="s">
        <v>1480</v>
      </c>
      <c r="K126" s="17"/>
      <c r="L126" s="17"/>
      <c r="M126" s="16" t="str">
        <f>HYPERLINK("http://slimages.macys.com/is/image/MCY/19008722 ")</f>
        <v xml:space="preserve">http://slimages.macys.com/is/image/MCY/19008722 </v>
      </c>
      <c r="N126" s="30"/>
    </row>
    <row r="127" spans="1:14" ht="60" x14ac:dyDescent="0.25">
      <c r="A127" s="19" t="s">
        <v>7621</v>
      </c>
      <c r="B127" s="17" t="s">
        <v>7620</v>
      </c>
      <c r="C127" s="20">
        <v>2</v>
      </c>
      <c r="D127" s="18">
        <v>66</v>
      </c>
      <c r="E127" s="20" t="s">
        <v>7619</v>
      </c>
      <c r="F127" s="17" t="s">
        <v>23</v>
      </c>
      <c r="G127" s="19" t="s">
        <v>197</v>
      </c>
      <c r="H127" s="18">
        <v>20</v>
      </c>
      <c r="I127" s="17" t="s">
        <v>133</v>
      </c>
      <c r="J127" s="17" t="s">
        <v>1437</v>
      </c>
      <c r="K127" s="17" t="s">
        <v>3965</v>
      </c>
      <c r="L127" s="17" t="s">
        <v>7618</v>
      </c>
      <c r="M127" s="16" t="str">
        <f>HYPERLINK("http://images.bloomingdales.com/is/image/BLM/10794578 ")</f>
        <v xml:space="preserve">http://images.bloomingdales.com/is/image/BLM/10794578 </v>
      </c>
      <c r="N127" s="30"/>
    </row>
    <row r="128" spans="1:14" ht="60" x14ac:dyDescent="0.25">
      <c r="A128" s="19" t="s">
        <v>7617</v>
      </c>
      <c r="B128" s="17" t="s">
        <v>7616</v>
      </c>
      <c r="C128" s="20">
        <v>1</v>
      </c>
      <c r="D128" s="18">
        <v>65</v>
      </c>
      <c r="E128" s="20" t="s">
        <v>7615</v>
      </c>
      <c r="F128" s="17" t="s">
        <v>23</v>
      </c>
      <c r="G128" s="19" t="s">
        <v>62</v>
      </c>
      <c r="H128" s="18">
        <v>20</v>
      </c>
      <c r="I128" s="17" t="s">
        <v>133</v>
      </c>
      <c r="J128" s="17" t="s">
        <v>6898</v>
      </c>
      <c r="K128" s="17"/>
      <c r="L128" s="17"/>
      <c r="M128" s="16" t="str">
        <f>HYPERLINK("http://slimages.macys.com/is/image/MCY/19110850 ")</f>
        <v xml:space="preserve">http://slimages.macys.com/is/image/MCY/19110850 </v>
      </c>
      <c r="N128" s="30"/>
    </row>
    <row r="129" spans="1:14" ht="60" x14ac:dyDescent="0.25">
      <c r="A129" s="19" t="s">
        <v>7614</v>
      </c>
      <c r="B129" s="17" t="s">
        <v>7613</v>
      </c>
      <c r="C129" s="20">
        <v>1</v>
      </c>
      <c r="D129" s="18">
        <v>66</v>
      </c>
      <c r="E129" s="20" t="s">
        <v>7612</v>
      </c>
      <c r="F129" s="17" t="s">
        <v>345</v>
      </c>
      <c r="G129" s="19" t="s">
        <v>197</v>
      </c>
      <c r="H129" s="18">
        <v>20</v>
      </c>
      <c r="I129" s="17" t="s">
        <v>133</v>
      </c>
      <c r="J129" s="17" t="s">
        <v>1437</v>
      </c>
      <c r="K129" s="17"/>
      <c r="L129" s="17"/>
      <c r="M129" s="16" t="str">
        <f>HYPERLINK("http://slimages.macys.com/is/image/MCY/19149454 ")</f>
        <v xml:space="preserve">http://slimages.macys.com/is/image/MCY/19149454 </v>
      </c>
      <c r="N129" s="30"/>
    </row>
    <row r="130" spans="1:14" ht="60" x14ac:dyDescent="0.25">
      <c r="A130" s="19" t="s">
        <v>7611</v>
      </c>
      <c r="B130" s="17" t="s">
        <v>7610</v>
      </c>
      <c r="C130" s="20">
        <v>1</v>
      </c>
      <c r="D130" s="18">
        <v>99</v>
      </c>
      <c r="E130" s="20">
        <v>10773360</v>
      </c>
      <c r="F130" s="17" t="s">
        <v>578</v>
      </c>
      <c r="G130" s="19" t="s">
        <v>116</v>
      </c>
      <c r="H130" s="18">
        <v>19.8</v>
      </c>
      <c r="I130" s="17" t="s">
        <v>115</v>
      </c>
      <c r="J130" s="17" t="s">
        <v>1265</v>
      </c>
      <c r="K130" s="17"/>
      <c r="L130" s="17"/>
      <c r="M130" s="16" t="str">
        <f>HYPERLINK("http://slimages.macys.com/is/image/MCY/18884210 ")</f>
        <v xml:space="preserve">http://slimages.macys.com/is/image/MCY/18884210 </v>
      </c>
      <c r="N130" s="30"/>
    </row>
    <row r="131" spans="1:14" ht="60" x14ac:dyDescent="0.25">
      <c r="A131" s="19" t="s">
        <v>7609</v>
      </c>
      <c r="B131" s="17" t="s">
        <v>7608</v>
      </c>
      <c r="C131" s="20">
        <v>1</v>
      </c>
      <c r="D131" s="18">
        <v>99</v>
      </c>
      <c r="E131" s="20">
        <v>10773568</v>
      </c>
      <c r="F131" s="17" t="s">
        <v>51</v>
      </c>
      <c r="G131" s="19" t="s">
        <v>116</v>
      </c>
      <c r="H131" s="18">
        <v>19.8</v>
      </c>
      <c r="I131" s="17" t="s">
        <v>115</v>
      </c>
      <c r="J131" s="17" t="s">
        <v>1265</v>
      </c>
      <c r="K131" s="17"/>
      <c r="L131" s="17"/>
      <c r="M131" s="16" t="str">
        <f>HYPERLINK("http://slimages.macys.com/is/image/MCY/18650670 ")</f>
        <v xml:space="preserve">http://slimages.macys.com/is/image/MCY/18650670 </v>
      </c>
      <c r="N131" s="30"/>
    </row>
    <row r="132" spans="1:14" ht="60" x14ac:dyDescent="0.25">
      <c r="A132" s="19" t="s">
        <v>5979</v>
      </c>
      <c r="B132" s="17" t="s">
        <v>5978</v>
      </c>
      <c r="C132" s="20">
        <v>5</v>
      </c>
      <c r="D132" s="18">
        <v>99</v>
      </c>
      <c r="E132" s="20">
        <v>10760812</v>
      </c>
      <c r="F132" s="17" t="s">
        <v>23</v>
      </c>
      <c r="G132" s="19" t="s">
        <v>96</v>
      </c>
      <c r="H132" s="18">
        <v>19.8</v>
      </c>
      <c r="I132" s="17" t="s">
        <v>115</v>
      </c>
      <c r="J132" s="17" t="s">
        <v>1265</v>
      </c>
      <c r="K132" s="17"/>
      <c r="L132" s="17"/>
      <c r="M132" s="16" t="str">
        <f>HYPERLINK("http://slimages.macys.com/is/image/MCY/16892803 ")</f>
        <v xml:space="preserve">http://slimages.macys.com/is/image/MCY/16892803 </v>
      </c>
      <c r="N132" s="30"/>
    </row>
    <row r="133" spans="1:14" ht="60" x14ac:dyDescent="0.25">
      <c r="A133" s="19" t="s">
        <v>7607</v>
      </c>
      <c r="B133" s="17" t="s">
        <v>7606</v>
      </c>
      <c r="C133" s="20">
        <v>1</v>
      </c>
      <c r="D133" s="18">
        <v>74.25</v>
      </c>
      <c r="E133" s="20">
        <v>10804437</v>
      </c>
      <c r="F133" s="17" t="s">
        <v>578</v>
      </c>
      <c r="G133" s="19" t="s">
        <v>1155</v>
      </c>
      <c r="H133" s="18">
        <v>19.8</v>
      </c>
      <c r="I133" s="17" t="s">
        <v>33</v>
      </c>
      <c r="J133" s="17" t="s">
        <v>143</v>
      </c>
      <c r="K133" s="17"/>
      <c r="L133" s="17"/>
      <c r="M133" s="16" t="str">
        <f>HYPERLINK("http://slimages.macys.com/is/image/MCY/19286444 ")</f>
        <v xml:space="preserve">http://slimages.macys.com/is/image/MCY/19286444 </v>
      </c>
      <c r="N133" s="30"/>
    </row>
    <row r="134" spans="1:14" ht="60" x14ac:dyDescent="0.25">
      <c r="A134" s="19" t="s">
        <v>7605</v>
      </c>
      <c r="B134" s="17" t="s">
        <v>7604</v>
      </c>
      <c r="C134" s="20">
        <v>1</v>
      </c>
      <c r="D134" s="18">
        <v>74.25</v>
      </c>
      <c r="E134" s="20">
        <v>10804437</v>
      </c>
      <c r="F134" s="17" t="s">
        <v>578</v>
      </c>
      <c r="G134" s="19" t="s">
        <v>738</v>
      </c>
      <c r="H134" s="18">
        <v>19.8</v>
      </c>
      <c r="I134" s="17" t="s">
        <v>33</v>
      </c>
      <c r="J134" s="17" t="s">
        <v>143</v>
      </c>
      <c r="K134" s="17"/>
      <c r="L134" s="17"/>
      <c r="M134" s="16" t="str">
        <f>HYPERLINK("http://slimages.macys.com/is/image/MCY/19286444 ")</f>
        <v xml:space="preserve">http://slimages.macys.com/is/image/MCY/19286444 </v>
      </c>
      <c r="N134" s="30"/>
    </row>
    <row r="135" spans="1:14" ht="60" x14ac:dyDescent="0.25">
      <c r="A135" s="19" t="s">
        <v>7603</v>
      </c>
      <c r="B135" s="17" t="s">
        <v>7602</v>
      </c>
      <c r="C135" s="20">
        <v>1</v>
      </c>
      <c r="D135" s="18">
        <v>89.5</v>
      </c>
      <c r="E135" s="20" t="s">
        <v>7601</v>
      </c>
      <c r="F135" s="17" t="s">
        <v>23</v>
      </c>
      <c r="G135" s="19" t="s">
        <v>74</v>
      </c>
      <c r="H135" s="18">
        <v>19.693333333333335</v>
      </c>
      <c r="I135" s="17" t="s">
        <v>654</v>
      </c>
      <c r="J135" s="17" t="s">
        <v>653</v>
      </c>
      <c r="K135" s="17"/>
      <c r="L135" s="17"/>
      <c r="M135" s="16" t="str">
        <f>HYPERLINK("http://slimages.macys.com/is/image/MCY/18839842 ")</f>
        <v xml:space="preserve">http://slimages.macys.com/is/image/MCY/18839842 </v>
      </c>
      <c r="N135" s="30"/>
    </row>
    <row r="136" spans="1:14" ht="60" x14ac:dyDescent="0.25">
      <c r="A136" s="19" t="s">
        <v>7600</v>
      </c>
      <c r="B136" s="17" t="s">
        <v>7599</v>
      </c>
      <c r="C136" s="20">
        <v>1</v>
      </c>
      <c r="D136" s="18">
        <v>89</v>
      </c>
      <c r="E136" s="20" t="s">
        <v>7598</v>
      </c>
      <c r="F136" s="17" t="s">
        <v>345</v>
      </c>
      <c r="G136" s="19" t="s">
        <v>17</v>
      </c>
      <c r="H136" s="18">
        <v>19.64</v>
      </c>
      <c r="I136" s="17" t="s">
        <v>49</v>
      </c>
      <c r="J136" s="17" t="s">
        <v>48</v>
      </c>
      <c r="K136" s="17"/>
      <c r="L136" s="17"/>
      <c r="M136" s="16" t="str">
        <f>HYPERLINK("http://slimages.macys.com/is/image/MCY/18749913 ")</f>
        <v xml:space="preserve">http://slimages.macys.com/is/image/MCY/18749913 </v>
      </c>
      <c r="N136" s="30"/>
    </row>
    <row r="137" spans="1:14" ht="60" x14ac:dyDescent="0.25">
      <c r="A137" s="19" t="s">
        <v>7597</v>
      </c>
      <c r="B137" s="17" t="s">
        <v>7596</v>
      </c>
      <c r="C137" s="20">
        <v>1</v>
      </c>
      <c r="D137" s="18">
        <v>99</v>
      </c>
      <c r="E137" s="20" t="s">
        <v>7595</v>
      </c>
      <c r="F137" s="17" t="s">
        <v>578</v>
      </c>
      <c r="G137" s="19" t="s">
        <v>1862</v>
      </c>
      <c r="H137" s="18">
        <v>19.353333333333335</v>
      </c>
      <c r="I137" s="17" t="s">
        <v>4609</v>
      </c>
      <c r="J137" s="17" t="s">
        <v>4608</v>
      </c>
      <c r="K137" s="17"/>
      <c r="L137" s="17"/>
      <c r="M137" s="16" t="str">
        <f>HYPERLINK("http://slimages.macys.com/is/image/MCY/18102084 ")</f>
        <v xml:space="preserve">http://slimages.macys.com/is/image/MCY/18102084 </v>
      </c>
      <c r="N137" s="30"/>
    </row>
    <row r="138" spans="1:14" ht="60" x14ac:dyDescent="0.25">
      <c r="A138" s="19" t="s">
        <v>7594</v>
      </c>
      <c r="B138" s="17" t="s">
        <v>7593</v>
      </c>
      <c r="C138" s="20">
        <v>2</v>
      </c>
      <c r="D138" s="18">
        <v>79</v>
      </c>
      <c r="E138" s="20" t="s">
        <v>7592</v>
      </c>
      <c r="F138" s="17" t="s">
        <v>282</v>
      </c>
      <c r="G138" s="19" t="s">
        <v>898</v>
      </c>
      <c r="H138" s="18">
        <v>19.226666666666667</v>
      </c>
      <c r="I138" s="17" t="s">
        <v>1363</v>
      </c>
      <c r="J138" s="17" t="s">
        <v>1362</v>
      </c>
      <c r="K138" s="17"/>
      <c r="L138" s="17"/>
      <c r="M138" s="16" t="str">
        <f>HYPERLINK("http://slimages.macys.com/is/image/MCY/19037973 ")</f>
        <v xml:space="preserve">http://slimages.macys.com/is/image/MCY/19037973 </v>
      </c>
      <c r="N138" s="30"/>
    </row>
    <row r="139" spans="1:14" ht="84" x14ac:dyDescent="0.25">
      <c r="A139" s="19" t="s">
        <v>5947</v>
      </c>
      <c r="B139" s="17" t="s">
        <v>5946</v>
      </c>
      <c r="C139" s="20">
        <v>1</v>
      </c>
      <c r="D139" s="18">
        <v>79</v>
      </c>
      <c r="E139" s="20" t="s">
        <v>3906</v>
      </c>
      <c r="F139" s="17"/>
      <c r="G139" s="19" t="s">
        <v>773</v>
      </c>
      <c r="H139" s="18">
        <v>19.226666666666667</v>
      </c>
      <c r="I139" s="17" t="s">
        <v>1363</v>
      </c>
      <c r="J139" s="17" t="s">
        <v>1362</v>
      </c>
      <c r="K139" s="17" t="s">
        <v>637</v>
      </c>
      <c r="L139" s="17" t="s">
        <v>4558</v>
      </c>
      <c r="M139" s="16" t="str">
        <f>HYPERLINK("http://images.bloomingdales.com/is/image/BLM/11476528 ")</f>
        <v xml:space="preserve">http://images.bloomingdales.com/is/image/BLM/11476528 </v>
      </c>
      <c r="N139" s="30"/>
    </row>
    <row r="140" spans="1:14" ht="60" x14ac:dyDescent="0.25">
      <c r="A140" s="19" t="s">
        <v>7591</v>
      </c>
      <c r="B140" s="17" t="s">
        <v>7590</v>
      </c>
      <c r="C140" s="20">
        <v>1</v>
      </c>
      <c r="D140" s="18">
        <v>89.5</v>
      </c>
      <c r="E140" s="20" t="s">
        <v>4619</v>
      </c>
      <c r="F140" s="17" t="s">
        <v>58</v>
      </c>
      <c r="G140" s="19" t="s">
        <v>197</v>
      </c>
      <c r="H140" s="18">
        <v>19</v>
      </c>
      <c r="I140" s="17" t="s">
        <v>80</v>
      </c>
      <c r="J140" s="17" t="s">
        <v>531</v>
      </c>
      <c r="K140" s="17"/>
      <c r="L140" s="17"/>
      <c r="M140" s="16" t="str">
        <f>HYPERLINK("http://slimages.macys.com/is/image/MCY/18371461 ")</f>
        <v xml:space="preserve">http://slimages.macys.com/is/image/MCY/18371461 </v>
      </c>
      <c r="N140" s="30"/>
    </row>
    <row r="141" spans="1:14" ht="60" x14ac:dyDescent="0.25">
      <c r="A141" s="19" t="s">
        <v>7589</v>
      </c>
      <c r="B141" s="17" t="s">
        <v>7588</v>
      </c>
      <c r="C141" s="20">
        <v>1</v>
      </c>
      <c r="D141" s="18">
        <v>99.5</v>
      </c>
      <c r="E141" s="20" t="s">
        <v>7587</v>
      </c>
      <c r="F141" s="17" t="s">
        <v>23</v>
      </c>
      <c r="G141" s="19"/>
      <c r="H141" s="18">
        <v>18.906666666666666</v>
      </c>
      <c r="I141" s="17" t="s">
        <v>540</v>
      </c>
      <c r="J141" s="17" t="s">
        <v>105</v>
      </c>
      <c r="K141" s="17"/>
      <c r="L141" s="17"/>
      <c r="M141" s="16" t="str">
        <f>HYPERLINK("http://slimages.macys.com/is/image/MCY/18861823 ")</f>
        <v xml:space="preserve">http://slimages.macys.com/is/image/MCY/18861823 </v>
      </c>
      <c r="N141" s="30"/>
    </row>
    <row r="142" spans="1:14" ht="60" x14ac:dyDescent="0.25">
      <c r="A142" s="19" t="s">
        <v>7586</v>
      </c>
      <c r="B142" s="17" t="s">
        <v>7585</v>
      </c>
      <c r="C142" s="20">
        <v>1</v>
      </c>
      <c r="D142" s="18">
        <v>66.75</v>
      </c>
      <c r="E142" s="20">
        <v>10769534</v>
      </c>
      <c r="F142" s="17" t="s">
        <v>28</v>
      </c>
      <c r="G142" s="19" t="s">
        <v>1292</v>
      </c>
      <c r="H142" s="18">
        <v>18.693333333333332</v>
      </c>
      <c r="I142" s="17" t="s">
        <v>358</v>
      </c>
      <c r="J142" s="17" t="s">
        <v>143</v>
      </c>
      <c r="K142" s="17"/>
      <c r="L142" s="17"/>
      <c r="M142" s="16" t="str">
        <f>HYPERLINK("http://slimages.macys.com/is/image/MCY/19096266 ")</f>
        <v xml:space="preserve">http://slimages.macys.com/is/image/MCY/19096266 </v>
      </c>
      <c r="N142" s="30"/>
    </row>
    <row r="143" spans="1:14" ht="60" x14ac:dyDescent="0.25">
      <c r="A143" s="19" t="s">
        <v>7584</v>
      </c>
      <c r="B143" s="17" t="s">
        <v>7583</v>
      </c>
      <c r="C143" s="20">
        <v>2</v>
      </c>
      <c r="D143" s="18">
        <v>66.75</v>
      </c>
      <c r="E143" s="20">
        <v>10802274</v>
      </c>
      <c r="F143" s="17" t="s">
        <v>23</v>
      </c>
      <c r="G143" s="19" t="s">
        <v>271</v>
      </c>
      <c r="H143" s="18">
        <v>18.693333333333332</v>
      </c>
      <c r="I143" s="17" t="s">
        <v>358</v>
      </c>
      <c r="J143" s="17" t="s">
        <v>143</v>
      </c>
      <c r="K143" s="17"/>
      <c r="L143" s="17"/>
      <c r="M143" s="16" t="str">
        <f>HYPERLINK("http://slimages.macys.com/is/image/MCY/19286663 ")</f>
        <v xml:space="preserve">http://slimages.macys.com/is/image/MCY/19286663 </v>
      </c>
      <c r="N143" s="30"/>
    </row>
    <row r="144" spans="1:14" ht="60" x14ac:dyDescent="0.25">
      <c r="A144" s="19" t="s">
        <v>7582</v>
      </c>
      <c r="B144" s="17" t="s">
        <v>7581</v>
      </c>
      <c r="C144" s="20">
        <v>1</v>
      </c>
      <c r="D144" s="18">
        <v>99</v>
      </c>
      <c r="E144" s="20" t="s">
        <v>6737</v>
      </c>
      <c r="F144" s="17" t="s">
        <v>58</v>
      </c>
      <c r="G144" s="19" t="s">
        <v>874</v>
      </c>
      <c r="H144" s="18">
        <v>18.48</v>
      </c>
      <c r="I144" s="17" t="s">
        <v>33</v>
      </c>
      <c r="J144" s="17" t="s">
        <v>404</v>
      </c>
      <c r="K144" s="17"/>
      <c r="L144" s="17"/>
      <c r="M144" s="16" t="str">
        <f>HYPERLINK("http://slimages.macys.com/is/image/MCY/18272893 ")</f>
        <v xml:space="preserve">http://slimages.macys.com/is/image/MCY/18272893 </v>
      </c>
      <c r="N144" s="30"/>
    </row>
    <row r="145" spans="1:14" ht="60" x14ac:dyDescent="0.25">
      <c r="A145" s="19" t="s">
        <v>7580</v>
      </c>
      <c r="B145" s="17" t="s">
        <v>7579</v>
      </c>
      <c r="C145" s="20">
        <v>1</v>
      </c>
      <c r="D145" s="18">
        <v>109</v>
      </c>
      <c r="E145" s="20">
        <v>2321924</v>
      </c>
      <c r="F145" s="17" t="s">
        <v>23</v>
      </c>
      <c r="G145" s="19" t="s">
        <v>898</v>
      </c>
      <c r="H145" s="18">
        <v>18.333333333333336</v>
      </c>
      <c r="I145" s="17" t="s">
        <v>80</v>
      </c>
      <c r="J145" s="17" t="s">
        <v>293</v>
      </c>
      <c r="K145" s="17"/>
      <c r="L145" s="17"/>
      <c r="M145" s="16" t="str">
        <f>HYPERLINK("http://slimages.macys.com/is/image/MCY/19074027 ")</f>
        <v xml:space="preserve">http://slimages.macys.com/is/image/MCY/19074027 </v>
      </c>
      <c r="N145" s="30"/>
    </row>
    <row r="146" spans="1:14" ht="60" x14ac:dyDescent="0.25">
      <c r="A146" s="19" t="s">
        <v>7578</v>
      </c>
      <c r="B146" s="17" t="s">
        <v>7577</v>
      </c>
      <c r="C146" s="20">
        <v>1</v>
      </c>
      <c r="D146" s="18">
        <v>99</v>
      </c>
      <c r="E146" s="20" t="s">
        <v>7576</v>
      </c>
      <c r="F146" s="17" t="s">
        <v>91</v>
      </c>
      <c r="G146" s="19" t="s">
        <v>197</v>
      </c>
      <c r="H146" s="18">
        <v>18.28</v>
      </c>
      <c r="I146" s="17" t="s">
        <v>405</v>
      </c>
      <c r="J146" s="17" t="s">
        <v>404</v>
      </c>
      <c r="K146" s="17"/>
      <c r="L146" s="17"/>
      <c r="M146" s="16" t="str">
        <f>HYPERLINK("http://slimages.macys.com/is/image/MCY/18867859 ")</f>
        <v xml:space="preserve">http://slimages.macys.com/is/image/MCY/18867859 </v>
      </c>
      <c r="N146" s="30"/>
    </row>
    <row r="147" spans="1:14" ht="60" x14ac:dyDescent="0.25">
      <c r="A147" s="19" t="s">
        <v>7575</v>
      </c>
      <c r="B147" s="17" t="s">
        <v>7574</v>
      </c>
      <c r="C147" s="20">
        <v>1</v>
      </c>
      <c r="D147" s="18">
        <v>99</v>
      </c>
      <c r="E147" s="20" t="s">
        <v>7571</v>
      </c>
      <c r="F147" s="17" t="s">
        <v>237</v>
      </c>
      <c r="G147" s="19" t="s">
        <v>69</v>
      </c>
      <c r="H147" s="18">
        <v>18.28</v>
      </c>
      <c r="I147" s="17" t="s">
        <v>405</v>
      </c>
      <c r="J147" s="17" t="s">
        <v>404</v>
      </c>
      <c r="K147" s="17"/>
      <c r="L147" s="17"/>
      <c r="M147" s="16" t="str">
        <f>HYPERLINK("http://slimages.macys.com/is/image/MCY/19217820 ")</f>
        <v xml:space="preserve">http://slimages.macys.com/is/image/MCY/19217820 </v>
      </c>
      <c r="N147" s="30"/>
    </row>
    <row r="148" spans="1:14" ht="60" x14ac:dyDescent="0.25">
      <c r="A148" s="19" t="s">
        <v>7573</v>
      </c>
      <c r="B148" s="17" t="s">
        <v>7572</v>
      </c>
      <c r="C148" s="20">
        <v>1</v>
      </c>
      <c r="D148" s="18">
        <v>99</v>
      </c>
      <c r="E148" s="20" t="s">
        <v>7571</v>
      </c>
      <c r="F148" s="17" t="s">
        <v>1815</v>
      </c>
      <c r="G148" s="19" t="s">
        <v>69</v>
      </c>
      <c r="H148" s="18">
        <v>18.28</v>
      </c>
      <c r="I148" s="17" t="s">
        <v>405</v>
      </c>
      <c r="J148" s="17" t="s">
        <v>404</v>
      </c>
      <c r="K148" s="17"/>
      <c r="L148" s="17"/>
      <c r="M148" s="16" t="str">
        <f>HYPERLINK("http://slimages.macys.com/is/image/MCY/19217820 ")</f>
        <v xml:space="preserve">http://slimages.macys.com/is/image/MCY/19217820 </v>
      </c>
      <c r="N148" s="30"/>
    </row>
    <row r="149" spans="1:14" ht="60" x14ac:dyDescent="0.25">
      <c r="A149" s="19" t="s">
        <v>2839</v>
      </c>
      <c r="B149" s="17" t="s">
        <v>2838</v>
      </c>
      <c r="C149" s="20">
        <v>10</v>
      </c>
      <c r="D149" s="18">
        <v>69.3</v>
      </c>
      <c r="E149" s="20" t="s">
        <v>2837</v>
      </c>
      <c r="F149" s="17" t="s">
        <v>544</v>
      </c>
      <c r="G149" s="19" t="s">
        <v>69</v>
      </c>
      <c r="H149" s="18">
        <v>18.080000000000002</v>
      </c>
      <c r="I149" s="17" t="s">
        <v>42</v>
      </c>
      <c r="J149" s="17" t="s">
        <v>41</v>
      </c>
      <c r="K149" s="17"/>
      <c r="L149" s="17"/>
      <c r="M149" s="16" t="str">
        <f>HYPERLINK("http://slimages.macys.com/is/image/MCY/18917123 ")</f>
        <v xml:space="preserve">http://slimages.macys.com/is/image/MCY/18917123 </v>
      </c>
      <c r="N149" s="30"/>
    </row>
    <row r="150" spans="1:14" ht="60" x14ac:dyDescent="0.25">
      <c r="A150" s="19" t="s">
        <v>7570</v>
      </c>
      <c r="B150" s="17" t="s">
        <v>7569</v>
      </c>
      <c r="C150" s="20">
        <v>1</v>
      </c>
      <c r="D150" s="18">
        <v>64.989999999999995</v>
      </c>
      <c r="E150" s="20" t="s">
        <v>7568</v>
      </c>
      <c r="F150" s="17" t="s">
        <v>58</v>
      </c>
      <c r="G150" s="19"/>
      <c r="H150" s="18">
        <v>18.080000000000002</v>
      </c>
      <c r="I150" s="17" t="s">
        <v>42</v>
      </c>
      <c r="J150" s="17" t="s">
        <v>41</v>
      </c>
      <c r="K150" s="17"/>
      <c r="L150" s="17"/>
      <c r="M150" s="16" t="str">
        <f>HYPERLINK("http://slimages.macys.com/is/image/MCY/18903724 ")</f>
        <v xml:space="preserve">http://slimages.macys.com/is/image/MCY/18903724 </v>
      </c>
      <c r="N150" s="30"/>
    </row>
    <row r="151" spans="1:14" ht="60" x14ac:dyDescent="0.25">
      <c r="A151" s="19" t="s">
        <v>7567</v>
      </c>
      <c r="B151" s="17" t="s">
        <v>7566</v>
      </c>
      <c r="C151" s="20">
        <v>1</v>
      </c>
      <c r="D151" s="18">
        <v>89.5</v>
      </c>
      <c r="E151" s="20" t="s">
        <v>5162</v>
      </c>
      <c r="F151" s="17" t="s">
        <v>51</v>
      </c>
      <c r="G151" s="19" t="s">
        <v>857</v>
      </c>
      <c r="H151" s="18">
        <v>18.033333333333335</v>
      </c>
      <c r="I151" s="17" t="s">
        <v>106</v>
      </c>
      <c r="J151" s="17" t="s">
        <v>105</v>
      </c>
      <c r="K151" s="17"/>
      <c r="L151" s="17"/>
      <c r="M151" s="16" t="str">
        <f>HYPERLINK("http://slimages.macys.com/is/image/MCY/19387364 ")</f>
        <v xml:space="preserve">http://slimages.macys.com/is/image/MCY/19387364 </v>
      </c>
      <c r="N151" s="30"/>
    </row>
    <row r="152" spans="1:14" ht="60" x14ac:dyDescent="0.25">
      <c r="A152" s="19" t="s">
        <v>7565</v>
      </c>
      <c r="B152" s="17" t="s">
        <v>7564</v>
      </c>
      <c r="C152" s="20">
        <v>1</v>
      </c>
      <c r="D152" s="18">
        <v>99</v>
      </c>
      <c r="E152" s="20">
        <v>10802100</v>
      </c>
      <c r="F152" s="17" t="s">
        <v>282</v>
      </c>
      <c r="G152" s="19" t="s">
        <v>74</v>
      </c>
      <c r="H152" s="18">
        <v>17.82</v>
      </c>
      <c r="I152" s="17" t="s">
        <v>115</v>
      </c>
      <c r="J152" s="17" t="s">
        <v>114</v>
      </c>
      <c r="K152" s="17"/>
      <c r="L152" s="17"/>
      <c r="M152" s="16" t="str">
        <f>HYPERLINK("http://slimages.macys.com/is/image/MCY/18796373 ")</f>
        <v xml:space="preserve">http://slimages.macys.com/is/image/MCY/18796373 </v>
      </c>
      <c r="N152" s="30"/>
    </row>
    <row r="153" spans="1:14" ht="60" x14ac:dyDescent="0.25">
      <c r="A153" s="19" t="s">
        <v>7563</v>
      </c>
      <c r="B153" s="17" t="s">
        <v>7562</v>
      </c>
      <c r="C153" s="20">
        <v>1</v>
      </c>
      <c r="D153" s="18">
        <v>89</v>
      </c>
      <c r="E153" s="20" t="s">
        <v>6724</v>
      </c>
      <c r="F153" s="17" t="s">
        <v>881</v>
      </c>
      <c r="G153" s="19" t="s">
        <v>658</v>
      </c>
      <c r="H153" s="18">
        <v>17.8</v>
      </c>
      <c r="I153" s="17" t="s">
        <v>144</v>
      </c>
      <c r="J153" s="17" t="s">
        <v>496</v>
      </c>
      <c r="K153" s="17"/>
      <c r="L153" s="17"/>
      <c r="M153" s="16" t="str">
        <f>HYPERLINK("http://slimages.macys.com/is/image/MCY/18652088 ")</f>
        <v xml:space="preserve">http://slimages.macys.com/is/image/MCY/18652088 </v>
      </c>
      <c r="N153" s="30"/>
    </row>
    <row r="154" spans="1:14" ht="60" x14ac:dyDescent="0.25">
      <c r="A154" s="19" t="s">
        <v>7561</v>
      </c>
      <c r="B154" s="17" t="s">
        <v>7560</v>
      </c>
      <c r="C154" s="20">
        <v>1</v>
      </c>
      <c r="D154" s="18">
        <v>66.75</v>
      </c>
      <c r="E154" s="20">
        <v>10788577</v>
      </c>
      <c r="F154" s="17" t="s">
        <v>544</v>
      </c>
      <c r="G154" s="19" t="s">
        <v>738</v>
      </c>
      <c r="H154" s="18">
        <v>17.8</v>
      </c>
      <c r="I154" s="17" t="s">
        <v>33</v>
      </c>
      <c r="J154" s="17" t="s">
        <v>143</v>
      </c>
      <c r="K154" s="17"/>
      <c r="L154" s="17"/>
      <c r="M154" s="16" t="str">
        <f>HYPERLINK("http://slimages.macys.com/is/image/MCY/19907214 ")</f>
        <v xml:space="preserve">http://slimages.macys.com/is/image/MCY/19907214 </v>
      </c>
      <c r="N154" s="30"/>
    </row>
    <row r="155" spans="1:14" ht="60" x14ac:dyDescent="0.25">
      <c r="A155" s="19" t="s">
        <v>7559</v>
      </c>
      <c r="B155" s="17" t="s">
        <v>7558</v>
      </c>
      <c r="C155" s="20">
        <v>1</v>
      </c>
      <c r="D155" s="18">
        <v>79.5</v>
      </c>
      <c r="E155" s="20" t="s">
        <v>7557</v>
      </c>
      <c r="F155" s="17" t="s">
        <v>1536</v>
      </c>
      <c r="G155" s="19" t="s">
        <v>197</v>
      </c>
      <c r="H155" s="18">
        <v>17.493333333333336</v>
      </c>
      <c r="I155" s="17" t="s">
        <v>654</v>
      </c>
      <c r="J155" s="17" t="s">
        <v>653</v>
      </c>
      <c r="K155" s="17"/>
      <c r="L155" s="17"/>
      <c r="M155" s="16" t="str">
        <f>HYPERLINK("http://slimages.macys.com/is/image/MCY/19293721 ")</f>
        <v xml:space="preserve">http://slimages.macys.com/is/image/MCY/19293721 </v>
      </c>
      <c r="N155" s="30"/>
    </row>
    <row r="156" spans="1:14" ht="60" x14ac:dyDescent="0.25">
      <c r="A156" s="19" t="s">
        <v>7556</v>
      </c>
      <c r="B156" s="17" t="s">
        <v>7555</v>
      </c>
      <c r="C156" s="20">
        <v>1</v>
      </c>
      <c r="D156" s="18">
        <v>79</v>
      </c>
      <c r="E156" s="20" t="s">
        <v>5905</v>
      </c>
      <c r="F156" s="17" t="s">
        <v>23</v>
      </c>
      <c r="G156" s="19" t="s">
        <v>17</v>
      </c>
      <c r="H156" s="18">
        <v>17.433333333333337</v>
      </c>
      <c r="I156" s="17" t="s">
        <v>49</v>
      </c>
      <c r="J156" s="17" t="s">
        <v>48</v>
      </c>
      <c r="K156" s="17"/>
      <c r="L156" s="17"/>
      <c r="M156" s="16" t="str">
        <f>HYPERLINK("http://slimages.macys.com/is/image/MCY/19288746 ")</f>
        <v xml:space="preserve">http://slimages.macys.com/is/image/MCY/19288746 </v>
      </c>
      <c r="N156" s="30"/>
    </row>
    <row r="157" spans="1:14" ht="60" x14ac:dyDescent="0.25">
      <c r="A157" s="19" t="s">
        <v>7554</v>
      </c>
      <c r="B157" s="17" t="s">
        <v>7553</v>
      </c>
      <c r="C157" s="20">
        <v>1</v>
      </c>
      <c r="D157" s="18">
        <v>79</v>
      </c>
      <c r="E157" s="20" t="s">
        <v>2828</v>
      </c>
      <c r="F157" s="17" t="s">
        <v>282</v>
      </c>
      <c r="G157" s="19" t="s">
        <v>116</v>
      </c>
      <c r="H157" s="18">
        <v>17.433333333333337</v>
      </c>
      <c r="I157" s="17" t="s">
        <v>49</v>
      </c>
      <c r="J157" s="17" t="s">
        <v>48</v>
      </c>
      <c r="K157" s="17"/>
      <c r="L157" s="17"/>
      <c r="M157" s="16" t="str">
        <f>HYPERLINK("http://slimages.macys.com/is/image/MCY/19192466 ")</f>
        <v xml:space="preserve">http://slimages.macys.com/is/image/MCY/19192466 </v>
      </c>
      <c r="N157" s="30"/>
    </row>
    <row r="158" spans="1:14" ht="60" x14ac:dyDescent="0.25">
      <c r="A158" s="19" t="s">
        <v>7552</v>
      </c>
      <c r="B158" s="17" t="s">
        <v>7551</v>
      </c>
      <c r="C158" s="20">
        <v>1</v>
      </c>
      <c r="D158" s="18">
        <v>79</v>
      </c>
      <c r="E158" s="20" t="s">
        <v>7550</v>
      </c>
      <c r="F158" s="17" t="s">
        <v>1356</v>
      </c>
      <c r="G158" s="19" t="s">
        <v>17</v>
      </c>
      <c r="H158" s="18">
        <v>17.433333333333337</v>
      </c>
      <c r="I158" s="17" t="s">
        <v>49</v>
      </c>
      <c r="J158" s="17" t="s">
        <v>48</v>
      </c>
      <c r="K158" s="17"/>
      <c r="L158" s="17"/>
      <c r="M158" s="16" t="str">
        <f>HYPERLINK("http://slimages.macys.com/is/image/MCY/19175733 ")</f>
        <v xml:space="preserve">http://slimages.macys.com/is/image/MCY/19175733 </v>
      </c>
      <c r="N158" s="30"/>
    </row>
    <row r="159" spans="1:14" ht="60" x14ac:dyDescent="0.25">
      <c r="A159" s="19" t="s">
        <v>5910</v>
      </c>
      <c r="B159" s="17" t="s">
        <v>5909</v>
      </c>
      <c r="C159" s="20">
        <v>5</v>
      </c>
      <c r="D159" s="18">
        <v>79</v>
      </c>
      <c r="E159" s="20" t="s">
        <v>5908</v>
      </c>
      <c r="F159" s="17" t="s">
        <v>23</v>
      </c>
      <c r="G159" s="19" t="s">
        <v>22</v>
      </c>
      <c r="H159" s="18">
        <v>17.433333333333337</v>
      </c>
      <c r="I159" s="17" t="s">
        <v>49</v>
      </c>
      <c r="J159" s="17" t="s">
        <v>48</v>
      </c>
      <c r="K159" s="17"/>
      <c r="L159" s="17"/>
      <c r="M159" s="16" t="str">
        <f>HYPERLINK("http://slimages.macys.com/is/image/MCY/19179496 ")</f>
        <v xml:space="preserve">http://slimages.macys.com/is/image/MCY/19179496 </v>
      </c>
      <c r="N159" s="30"/>
    </row>
    <row r="160" spans="1:14" ht="60" x14ac:dyDescent="0.25">
      <c r="A160" s="19" t="s">
        <v>2836</v>
      </c>
      <c r="B160" s="17" t="s">
        <v>2835</v>
      </c>
      <c r="C160" s="20">
        <v>1</v>
      </c>
      <c r="D160" s="18">
        <v>79</v>
      </c>
      <c r="E160" s="20" t="s">
        <v>2834</v>
      </c>
      <c r="F160" s="17" t="s">
        <v>345</v>
      </c>
      <c r="G160" s="19" t="s">
        <v>17</v>
      </c>
      <c r="H160" s="18">
        <v>17.433333333333337</v>
      </c>
      <c r="I160" s="17" t="s">
        <v>49</v>
      </c>
      <c r="J160" s="17" t="s">
        <v>48</v>
      </c>
      <c r="K160" s="17"/>
      <c r="L160" s="17"/>
      <c r="M160" s="16" t="str">
        <f>HYPERLINK("http://slimages.macys.com/is/image/MCY/19136704 ")</f>
        <v xml:space="preserve">http://slimages.macys.com/is/image/MCY/19136704 </v>
      </c>
      <c r="N160" s="30"/>
    </row>
    <row r="161" spans="1:14" ht="60" x14ac:dyDescent="0.25">
      <c r="A161" s="19" t="s">
        <v>7549</v>
      </c>
      <c r="B161" s="17" t="s">
        <v>7548</v>
      </c>
      <c r="C161" s="20">
        <v>1</v>
      </c>
      <c r="D161" s="18">
        <v>69.5</v>
      </c>
      <c r="E161" s="20" t="s">
        <v>7547</v>
      </c>
      <c r="F161" s="17" t="s">
        <v>330</v>
      </c>
      <c r="G161" s="19" t="s">
        <v>27</v>
      </c>
      <c r="H161" s="18">
        <v>17.373333333333335</v>
      </c>
      <c r="I161" s="17" t="s">
        <v>68</v>
      </c>
      <c r="J161" s="17" t="s">
        <v>95</v>
      </c>
      <c r="K161" s="17"/>
      <c r="L161" s="17"/>
      <c r="M161" s="16" t="str">
        <f>HYPERLINK("http://slimages.macys.com/is/image/MCY/18624239 ")</f>
        <v xml:space="preserve">http://slimages.macys.com/is/image/MCY/18624239 </v>
      </c>
      <c r="N161" s="30"/>
    </row>
    <row r="162" spans="1:14" ht="96" x14ac:dyDescent="0.25">
      <c r="A162" s="19" t="s">
        <v>7546</v>
      </c>
      <c r="B162" s="17" t="s">
        <v>7545</v>
      </c>
      <c r="C162" s="20">
        <v>1</v>
      </c>
      <c r="D162" s="18">
        <v>69</v>
      </c>
      <c r="E162" s="20" t="s">
        <v>6687</v>
      </c>
      <c r="F162" s="17" t="s">
        <v>1356</v>
      </c>
      <c r="G162" s="19" t="s">
        <v>698</v>
      </c>
      <c r="H162" s="18">
        <v>16.853333333333335</v>
      </c>
      <c r="I162" s="17" t="s">
        <v>1363</v>
      </c>
      <c r="J162" s="17" t="s">
        <v>1362</v>
      </c>
      <c r="K162" s="17" t="s">
        <v>637</v>
      </c>
      <c r="L162" s="17" t="s">
        <v>6686</v>
      </c>
      <c r="M162" s="16" t="str">
        <f>HYPERLINK("http://images.bloomingdales.com/is/image/BLM/11509761 ")</f>
        <v xml:space="preserve">http://images.bloomingdales.com/is/image/BLM/11509761 </v>
      </c>
      <c r="N162" s="30"/>
    </row>
    <row r="163" spans="1:14" ht="60" x14ac:dyDescent="0.25">
      <c r="A163" s="19" t="s">
        <v>7544</v>
      </c>
      <c r="B163" s="17" t="s">
        <v>7543</v>
      </c>
      <c r="C163" s="20">
        <v>6</v>
      </c>
      <c r="D163" s="18">
        <v>79.5</v>
      </c>
      <c r="E163" s="20" t="s">
        <v>5886</v>
      </c>
      <c r="F163" s="17" t="s">
        <v>2876</v>
      </c>
      <c r="G163" s="19" t="s">
        <v>74</v>
      </c>
      <c r="H163" s="18">
        <v>16.833333333333332</v>
      </c>
      <c r="I163" s="17" t="s">
        <v>80</v>
      </c>
      <c r="J163" s="17" t="s">
        <v>531</v>
      </c>
      <c r="K163" s="17"/>
      <c r="L163" s="17"/>
      <c r="M163" s="16" t="str">
        <f>HYPERLINK("http://slimages.macys.com/is/image/MCY/18371453 ")</f>
        <v xml:space="preserve">http://slimages.macys.com/is/image/MCY/18371453 </v>
      </c>
      <c r="N163" s="30"/>
    </row>
    <row r="164" spans="1:14" ht="60" x14ac:dyDescent="0.25">
      <c r="A164" s="19" t="s">
        <v>7542</v>
      </c>
      <c r="B164" s="17" t="s">
        <v>7541</v>
      </c>
      <c r="C164" s="20">
        <v>1</v>
      </c>
      <c r="D164" s="18">
        <v>66.75</v>
      </c>
      <c r="E164" s="20">
        <v>10758382</v>
      </c>
      <c r="F164" s="17" t="s">
        <v>23</v>
      </c>
      <c r="G164" s="19" t="s">
        <v>1445</v>
      </c>
      <c r="H164" s="18">
        <v>16.82</v>
      </c>
      <c r="I164" s="17" t="s">
        <v>358</v>
      </c>
      <c r="J164" s="17" t="s">
        <v>143</v>
      </c>
      <c r="K164" s="17"/>
      <c r="L164" s="17"/>
      <c r="M164" s="16" t="str">
        <f>HYPERLINK("http://slimages.macys.com/is/image/MCY/16862690 ")</f>
        <v xml:space="preserve">http://slimages.macys.com/is/image/MCY/16862690 </v>
      </c>
      <c r="N164" s="30"/>
    </row>
    <row r="165" spans="1:14" ht="60" x14ac:dyDescent="0.25">
      <c r="A165" s="19" t="s">
        <v>5140</v>
      </c>
      <c r="B165" s="17" t="s">
        <v>5139</v>
      </c>
      <c r="C165" s="20">
        <v>1</v>
      </c>
      <c r="D165" s="18">
        <v>66.75</v>
      </c>
      <c r="E165" s="20" t="s">
        <v>5138</v>
      </c>
      <c r="F165" s="17" t="s">
        <v>28</v>
      </c>
      <c r="G165" s="19" t="s">
        <v>874</v>
      </c>
      <c r="H165" s="18">
        <v>16.793333333333337</v>
      </c>
      <c r="I165" s="17" t="s">
        <v>33</v>
      </c>
      <c r="J165" s="17" t="s">
        <v>32</v>
      </c>
      <c r="K165" s="17"/>
      <c r="L165" s="17"/>
      <c r="M165" s="16" t="str">
        <f>HYPERLINK("http://slimages.macys.com/is/image/MCY/18991510 ")</f>
        <v xml:space="preserve">http://slimages.macys.com/is/image/MCY/18991510 </v>
      </c>
      <c r="N165" s="30"/>
    </row>
    <row r="166" spans="1:14" ht="60" x14ac:dyDescent="0.25">
      <c r="A166" s="19" t="s">
        <v>7540</v>
      </c>
      <c r="B166" s="17" t="s">
        <v>7539</v>
      </c>
      <c r="C166" s="20">
        <v>1</v>
      </c>
      <c r="D166" s="18">
        <v>89</v>
      </c>
      <c r="E166" s="20" t="s">
        <v>7538</v>
      </c>
      <c r="F166" s="17" t="s">
        <v>575</v>
      </c>
      <c r="G166" s="19" t="s">
        <v>658</v>
      </c>
      <c r="H166" s="18">
        <v>16.613333333333333</v>
      </c>
      <c r="I166" s="17" t="s">
        <v>820</v>
      </c>
      <c r="J166" s="17" t="s">
        <v>67</v>
      </c>
      <c r="K166" s="17" t="s">
        <v>389</v>
      </c>
      <c r="L166" s="17" t="s">
        <v>7537</v>
      </c>
      <c r="M166" s="16" t="str">
        <f>HYPERLINK("http://slimages.macys.com/is/image/MCY/3771251 ")</f>
        <v xml:space="preserve">http://slimages.macys.com/is/image/MCY/3771251 </v>
      </c>
      <c r="N166" s="30"/>
    </row>
    <row r="167" spans="1:14" ht="60" x14ac:dyDescent="0.25">
      <c r="A167" s="19" t="s">
        <v>6673</v>
      </c>
      <c r="B167" s="17" t="s">
        <v>6672</v>
      </c>
      <c r="C167" s="20">
        <v>2</v>
      </c>
      <c r="D167" s="18">
        <v>59.25</v>
      </c>
      <c r="E167" s="20">
        <v>10802046</v>
      </c>
      <c r="F167" s="17" t="s">
        <v>1356</v>
      </c>
      <c r="G167" s="19" t="s">
        <v>351</v>
      </c>
      <c r="H167" s="18">
        <v>16.593333333333334</v>
      </c>
      <c r="I167" s="17" t="s">
        <v>358</v>
      </c>
      <c r="J167" s="17" t="s">
        <v>143</v>
      </c>
      <c r="K167" s="17"/>
      <c r="L167" s="17"/>
      <c r="M167" s="16" t="str">
        <f>HYPERLINK("http://slimages.macys.com/is/image/MCY/19286637 ")</f>
        <v xml:space="preserve">http://slimages.macys.com/is/image/MCY/19286637 </v>
      </c>
      <c r="N167" s="30"/>
    </row>
    <row r="168" spans="1:14" ht="60" x14ac:dyDescent="0.25">
      <c r="A168" s="19" t="s">
        <v>7536</v>
      </c>
      <c r="B168" s="17" t="s">
        <v>7535</v>
      </c>
      <c r="C168" s="20">
        <v>1</v>
      </c>
      <c r="D168" s="18">
        <v>99.5</v>
      </c>
      <c r="E168" s="20" t="s">
        <v>7532</v>
      </c>
      <c r="F168" s="17" t="s">
        <v>91</v>
      </c>
      <c r="G168" s="19"/>
      <c r="H168" s="18">
        <v>16.586666666666666</v>
      </c>
      <c r="I168" s="17" t="s">
        <v>540</v>
      </c>
      <c r="J168" s="17" t="s">
        <v>105</v>
      </c>
      <c r="K168" s="17"/>
      <c r="L168" s="17"/>
      <c r="M168" s="16" t="str">
        <f>HYPERLINK("http://slimages.macys.com/is/image/MCY/9702830 ")</f>
        <v xml:space="preserve">http://slimages.macys.com/is/image/MCY/9702830 </v>
      </c>
      <c r="N168" s="30"/>
    </row>
    <row r="169" spans="1:14" ht="60" x14ac:dyDescent="0.25">
      <c r="A169" s="19" t="s">
        <v>7534</v>
      </c>
      <c r="B169" s="17" t="s">
        <v>7533</v>
      </c>
      <c r="C169" s="20">
        <v>1</v>
      </c>
      <c r="D169" s="18">
        <v>99.5</v>
      </c>
      <c r="E169" s="20" t="s">
        <v>7532</v>
      </c>
      <c r="F169" s="17" t="s">
        <v>91</v>
      </c>
      <c r="G169" s="19" t="s">
        <v>139</v>
      </c>
      <c r="H169" s="18">
        <v>16.586666666666666</v>
      </c>
      <c r="I169" s="17" t="s">
        <v>540</v>
      </c>
      <c r="J169" s="17" t="s">
        <v>105</v>
      </c>
      <c r="K169" s="17"/>
      <c r="L169" s="17"/>
      <c r="M169" s="16" t="str">
        <f>HYPERLINK("http://slimages.macys.com/is/image/MCY/9702830 ")</f>
        <v xml:space="preserve">http://slimages.macys.com/is/image/MCY/9702830 </v>
      </c>
      <c r="N169" s="30"/>
    </row>
    <row r="170" spans="1:14" ht="60" x14ac:dyDescent="0.25">
      <c r="A170" s="19" t="s">
        <v>3802</v>
      </c>
      <c r="B170" s="17" t="s">
        <v>3801</v>
      </c>
      <c r="C170" s="20">
        <v>2</v>
      </c>
      <c r="D170" s="18">
        <v>99</v>
      </c>
      <c r="E170" s="20">
        <v>10770730</v>
      </c>
      <c r="F170" s="17" t="s">
        <v>558</v>
      </c>
      <c r="G170" s="19" t="s">
        <v>1292</v>
      </c>
      <c r="H170" s="18">
        <v>16.5</v>
      </c>
      <c r="I170" s="17" t="s">
        <v>1307</v>
      </c>
      <c r="J170" s="17" t="s">
        <v>1306</v>
      </c>
      <c r="K170" s="17"/>
      <c r="L170" s="17"/>
      <c r="M170" s="16" t="str">
        <f>HYPERLINK("http://slimages.macys.com/is/image/MCY/18973134 ")</f>
        <v xml:space="preserve">http://slimages.macys.com/is/image/MCY/18973134 </v>
      </c>
      <c r="N170" s="30"/>
    </row>
    <row r="171" spans="1:14" ht="60" x14ac:dyDescent="0.25">
      <c r="A171" s="19" t="s">
        <v>3791</v>
      </c>
      <c r="B171" s="17" t="s">
        <v>3790</v>
      </c>
      <c r="C171" s="20">
        <v>1</v>
      </c>
      <c r="D171" s="18">
        <v>89</v>
      </c>
      <c r="E171" s="20" t="s">
        <v>3789</v>
      </c>
      <c r="F171" s="17" t="s">
        <v>23</v>
      </c>
      <c r="G171" s="19"/>
      <c r="H171" s="18">
        <v>16.433333333333334</v>
      </c>
      <c r="I171" s="17" t="s">
        <v>405</v>
      </c>
      <c r="J171" s="17" t="s">
        <v>404</v>
      </c>
      <c r="K171" s="17"/>
      <c r="L171" s="17"/>
      <c r="M171" s="16" t="str">
        <f>HYPERLINK("http://slimages.macys.com/is/image/MCY/16832950 ")</f>
        <v xml:space="preserve">http://slimages.macys.com/is/image/MCY/16832950 </v>
      </c>
      <c r="N171" s="30"/>
    </row>
    <row r="172" spans="1:14" ht="60" x14ac:dyDescent="0.25">
      <c r="A172" s="19" t="s">
        <v>7531</v>
      </c>
      <c r="B172" s="17" t="s">
        <v>7530</v>
      </c>
      <c r="C172" s="20">
        <v>1</v>
      </c>
      <c r="D172" s="18">
        <v>89</v>
      </c>
      <c r="E172" s="20" t="s">
        <v>7527</v>
      </c>
      <c r="F172" s="17" t="s">
        <v>58</v>
      </c>
      <c r="G172" s="19" t="s">
        <v>57</v>
      </c>
      <c r="H172" s="18">
        <v>16.433333333333334</v>
      </c>
      <c r="I172" s="17" t="s">
        <v>405</v>
      </c>
      <c r="J172" s="17" t="s">
        <v>404</v>
      </c>
      <c r="K172" s="17"/>
      <c r="L172" s="17"/>
      <c r="M172" s="16" t="str">
        <f>HYPERLINK("http://slimages.macys.com/is/image/MCY/19407074 ")</f>
        <v xml:space="preserve">http://slimages.macys.com/is/image/MCY/19407074 </v>
      </c>
      <c r="N172" s="30"/>
    </row>
    <row r="173" spans="1:14" ht="60" x14ac:dyDescent="0.25">
      <c r="A173" s="19" t="s">
        <v>7529</v>
      </c>
      <c r="B173" s="17" t="s">
        <v>7528</v>
      </c>
      <c r="C173" s="20">
        <v>1</v>
      </c>
      <c r="D173" s="18">
        <v>89</v>
      </c>
      <c r="E173" s="20" t="s">
        <v>7527</v>
      </c>
      <c r="F173" s="17" t="s">
        <v>58</v>
      </c>
      <c r="G173" s="19" t="s">
        <v>69</v>
      </c>
      <c r="H173" s="18">
        <v>16.433333333333334</v>
      </c>
      <c r="I173" s="17" t="s">
        <v>405</v>
      </c>
      <c r="J173" s="17" t="s">
        <v>404</v>
      </c>
      <c r="K173" s="17"/>
      <c r="L173" s="17"/>
      <c r="M173" s="16" t="str">
        <f>HYPERLINK("http://slimages.macys.com/is/image/MCY/19407074 ")</f>
        <v xml:space="preserve">http://slimages.macys.com/is/image/MCY/19407074 </v>
      </c>
      <c r="N173" s="30"/>
    </row>
    <row r="174" spans="1:14" ht="60" x14ac:dyDescent="0.25">
      <c r="A174" s="19" t="s">
        <v>7526</v>
      </c>
      <c r="B174" s="17" t="s">
        <v>7525</v>
      </c>
      <c r="C174" s="20">
        <v>1</v>
      </c>
      <c r="D174" s="18">
        <v>79.5</v>
      </c>
      <c r="E174" s="20" t="s">
        <v>7524</v>
      </c>
      <c r="F174" s="17" t="s">
        <v>881</v>
      </c>
      <c r="G174" s="19" t="s">
        <v>658</v>
      </c>
      <c r="H174" s="18">
        <v>16.013333333333335</v>
      </c>
      <c r="I174" s="17" t="s">
        <v>106</v>
      </c>
      <c r="J174" s="17" t="s">
        <v>105</v>
      </c>
      <c r="K174" s="17"/>
      <c r="L174" s="17"/>
      <c r="M174" s="16" t="str">
        <f>HYPERLINK("http://slimages.macys.com/is/image/MCY/18482747 ")</f>
        <v xml:space="preserve">http://slimages.macys.com/is/image/MCY/18482747 </v>
      </c>
      <c r="N174" s="30"/>
    </row>
    <row r="175" spans="1:14" ht="60" x14ac:dyDescent="0.25">
      <c r="A175" s="19" t="s">
        <v>7523</v>
      </c>
      <c r="B175" s="17" t="s">
        <v>7522</v>
      </c>
      <c r="C175" s="20">
        <v>1</v>
      </c>
      <c r="D175" s="18">
        <v>79.5</v>
      </c>
      <c r="E175" s="20" t="s">
        <v>5864</v>
      </c>
      <c r="F175" s="17" t="s">
        <v>23</v>
      </c>
      <c r="G175" s="19" t="s">
        <v>898</v>
      </c>
      <c r="H175" s="18">
        <v>16.013333333333335</v>
      </c>
      <c r="I175" s="17" t="s">
        <v>106</v>
      </c>
      <c r="J175" s="17" t="s">
        <v>105</v>
      </c>
      <c r="K175" s="17"/>
      <c r="L175" s="17"/>
      <c r="M175" s="16" t="str">
        <f>HYPERLINK("http://slimages.macys.com/is/image/MCY/18482747 ")</f>
        <v xml:space="preserve">http://slimages.macys.com/is/image/MCY/18482747 </v>
      </c>
      <c r="N175" s="30"/>
    </row>
    <row r="176" spans="1:14" ht="72" x14ac:dyDescent="0.25">
      <c r="A176" s="19" t="s">
        <v>7521</v>
      </c>
      <c r="B176" s="17" t="s">
        <v>7520</v>
      </c>
      <c r="C176" s="20">
        <v>1</v>
      </c>
      <c r="D176" s="18">
        <v>79.5</v>
      </c>
      <c r="E176" s="20" t="s">
        <v>7519</v>
      </c>
      <c r="F176" s="17" t="s">
        <v>23</v>
      </c>
      <c r="G176" s="19" t="s">
        <v>62</v>
      </c>
      <c r="H176" s="18">
        <v>16.013333333333335</v>
      </c>
      <c r="I176" s="17" t="s">
        <v>106</v>
      </c>
      <c r="J176" s="17" t="s">
        <v>105</v>
      </c>
      <c r="K176" s="17" t="s">
        <v>389</v>
      </c>
      <c r="L176" s="17" t="s">
        <v>1401</v>
      </c>
      <c r="M176" s="16" t="str">
        <f>HYPERLINK("http://slimages.macys.com/is/image/MCY/16604686 ")</f>
        <v xml:space="preserve">http://slimages.macys.com/is/image/MCY/16604686 </v>
      </c>
      <c r="N176" s="30"/>
    </row>
    <row r="177" spans="1:14" ht="60" x14ac:dyDescent="0.25">
      <c r="A177" s="19" t="s">
        <v>7518</v>
      </c>
      <c r="B177" s="17" t="s">
        <v>7517</v>
      </c>
      <c r="C177" s="20">
        <v>1</v>
      </c>
      <c r="D177" s="18">
        <v>79.5</v>
      </c>
      <c r="E177" s="20" t="s">
        <v>5864</v>
      </c>
      <c r="F177" s="17" t="s">
        <v>23</v>
      </c>
      <c r="G177" s="19" t="s">
        <v>857</v>
      </c>
      <c r="H177" s="18">
        <v>16.013333333333335</v>
      </c>
      <c r="I177" s="17" t="s">
        <v>106</v>
      </c>
      <c r="J177" s="17" t="s">
        <v>105</v>
      </c>
      <c r="K177" s="17"/>
      <c r="L177" s="17"/>
      <c r="M177" s="16" t="str">
        <f>HYPERLINK("http://slimages.macys.com/is/image/MCY/18482747 ")</f>
        <v xml:space="preserve">http://slimages.macys.com/is/image/MCY/18482747 </v>
      </c>
      <c r="N177" s="30"/>
    </row>
    <row r="178" spans="1:14" ht="60" x14ac:dyDescent="0.25">
      <c r="A178" s="19" t="s">
        <v>7516</v>
      </c>
      <c r="B178" s="17" t="s">
        <v>7515</v>
      </c>
      <c r="C178" s="20">
        <v>1</v>
      </c>
      <c r="D178" s="18">
        <v>79.5</v>
      </c>
      <c r="E178" s="20" t="s">
        <v>5864</v>
      </c>
      <c r="F178" s="17" t="s">
        <v>23</v>
      </c>
      <c r="G178" s="19" t="s">
        <v>749</v>
      </c>
      <c r="H178" s="18">
        <v>16.013333333333335</v>
      </c>
      <c r="I178" s="17" t="s">
        <v>106</v>
      </c>
      <c r="J178" s="17" t="s">
        <v>105</v>
      </c>
      <c r="K178" s="17"/>
      <c r="L178" s="17"/>
      <c r="M178" s="16" t="str">
        <f>HYPERLINK("http://slimages.macys.com/is/image/MCY/18482747 ")</f>
        <v xml:space="preserve">http://slimages.macys.com/is/image/MCY/18482747 </v>
      </c>
      <c r="N178" s="30"/>
    </row>
    <row r="179" spans="1:14" ht="60" x14ac:dyDescent="0.25">
      <c r="A179" s="19" t="s">
        <v>7514</v>
      </c>
      <c r="B179" s="17" t="s">
        <v>7513</v>
      </c>
      <c r="C179" s="20">
        <v>1</v>
      </c>
      <c r="D179" s="18">
        <v>99</v>
      </c>
      <c r="E179" s="20">
        <v>2331721</v>
      </c>
      <c r="F179" s="17" t="s">
        <v>63</v>
      </c>
      <c r="G179" s="19" t="s">
        <v>62</v>
      </c>
      <c r="H179" s="18">
        <v>16</v>
      </c>
      <c r="I179" s="17" t="s">
        <v>80</v>
      </c>
      <c r="J179" s="17" t="s">
        <v>293</v>
      </c>
      <c r="K179" s="17"/>
      <c r="L179" s="17"/>
      <c r="M179" s="16" t="str">
        <f>HYPERLINK("http://slimages.macys.com/is/image/MCY/19226135 ")</f>
        <v xml:space="preserve">http://slimages.macys.com/is/image/MCY/19226135 </v>
      </c>
      <c r="N179" s="30"/>
    </row>
    <row r="180" spans="1:14" ht="60" x14ac:dyDescent="0.25">
      <c r="A180" s="19" t="s">
        <v>561</v>
      </c>
      <c r="B180" s="17" t="s">
        <v>560</v>
      </c>
      <c r="C180" s="20">
        <v>1</v>
      </c>
      <c r="D180" s="18">
        <v>75</v>
      </c>
      <c r="E180" s="20" t="s">
        <v>559</v>
      </c>
      <c r="F180" s="17" t="s">
        <v>558</v>
      </c>
      <c r="G180" s="19" t="s">
        <v>74</v>
      </c>
      <c r="H180" s="18">
        <v>16</v>
      </c>
      <c r="I180" s="17" t="s">
        <v>80</v>
      </c>
      <c r="J180" s="17" t="s">
        <v>531</v>
      </c>
      <c r="K180" s="17"/>
      <c r="L180" s="17"/>
      <c r="M180" s="16" t="str">
        <f>HYPERLINK("http://slimages.macys.com/is/image/MCY/18371419 ")</f>
        <v xml:space="preserve">http://slimages.macys.com/is/image/MCY/18371419 </v>
      </c>
      <c r="N180" s="30"/>
    </row>
    <row r="181" spans="1:14" ht="60" x14ac:dyDescent="0.25">
      <c r="A181" s="19" t="s">
        <v>5863</v>
      </c>
      <c r="B181" s="17" t="s">
        <v>5862</v>
      </c>
      <c r="C181" s="20">
        <v>1</v>
      </c>
      <c r="D181" s="18">
        <v>75</v>
      </c>
      <c r="E181" s="20" t="s">
        <v>559</v>
      </c>
      <c r="F181" s="17" t="s">
        <v>881</v>
      </c>
      <c r="G181" s="19" t="s">
        <v>74</v>
      </c>
      <c r="H181" s="18">
        <v>16</v>
      </c>
      <c r="I181" s="17" t="s">
        <v>80</v>
      </c>
      <c r="J181" s="17" t="s">
        <v>531</v>
      </c>
      <c r="K181" s="17"/>
      <c r="L181" s="17"/>
      <c r="M181" s="16" t="str">
        <f>HYPERLINK("http://slimages.macys.com/is/image/MCY/18371419 ")</f>
        <v xml:space="preserve">http://slimages.macys.com/is/image/MCY/18371419 </v>
      </c>
      <c r="N181" s="30"/>
    </row>
    <row r="182" spans="1:14" ht="60" x14ac:dyDescent="0.25">
      <c r="A182" s="19" t="s">
        <v>1243</v>
      </c>
      <c r="B182" s="17" t="s">
        <v>1242</v>
      </c>
      <c r="C182" s="20">
        <v>2</v>
      </c>
      <c r="D182" s="18">
        <v>75</v>
      </c>
      <c r="E182" s="20" t="s">
        <v>1241</v>
      </c>
      <c r="F182" s="17" t="s">
        <v>51</v>
      </c>
      <c r="G182" s="19" t="s">
        <v>69</v>
      </c>
      <c r="H182" s="18">
        <v>16</v>
      </c>
      <c r="I182" s="17" t="s">
        <v>80</v>
      </c>
      <c r="J182" s="17" t="s">
        <v>531</v>
      </c>
      <c r="K182" s="17"/>
      <c r="L182" s="17"/>
      <c r="M182" s="16" t="str">
        <f>HYPERLINK("http://slimages.macys.com/is/image/MCY/18269796 ")</f>
        <v xml:space="preserve">http://slimages.macys.com/is/image/MCY/18269796 </v>
      </c>
      <c r="N182" s="30"/>
    </row>
    <row r="183" spans="1:14" ht="60" x14ac:dyDescent="0.25">
      <c r="A183" s="19" t="s">
        <v>5861</v>
      </c>
      <c r="B183" s="17" t="s">
        <v>5860</v>
      </c>
      <c r="C183" s="20">
        <v>2</v>
      </c>
      <c r="D183" s="18">
        <v>75</v>
      </c>
      <c r="E183" s="20" t="s">
        <v>559</v>
      </c>
      <c r="F183" s="17" t="s">
        <v>881</v>
      </c>
      <c r="G183" s="19" t="s">
        <v>69</v>
      </c>
      <c r="H183" s="18">
        <v>16</v>
      </c>
      <c r="I183" s="17" t="s">
        <v>80</v>
      </c>
      <c r="J183" s="17" t="s">
        <v>531</v>
      </c>
      <c r="K183" s="17"/>
      <c r="L183" s="17"/>
      <c r="M183" s="16" t="str">
        <f>HYPERLINK("http://slimages.macys.com/is/image/MCY/18371419 ")</f>
        <v xml:space="preserve">http://slimages.macys.com/is/image/MCY/18371419 </v>
      </c>
      <c r="N183" s="30"/>
    </row>
    <row r="184" spans="1:14" ht="60" x14ac:dyDescent="0.25">
      <c r="A184" s="19" t="s">
        <v>7512</v>
      </c>
      <c r="B184" s="17" t="s">
        <v>7511</v>
      </c>
      <c r="C184" s="20">
        <v>1</v>
      </c>
      <c r="D184" s="18">
        <v>75</v>
      </c>
      <c r="E184" s="20" t="s">
        <v>559</v>
      </c>
      <c r="F184" s="17" t="s">
        <v>51</v>
      </c>
      <c r="G184" s="19" t="s">
        <v>69</v>
      </c>
      <c r="H184" s="18">
        <v>16</v>
      </c>
      <c r="I184" s="17" t="s">
        <v>80</v>
      </c>
      <c r="J184" s="17" t="s">
        <v>531</v>
      </c>
      <c r="K184" s="17"/>
      <c r="L184" s="17"/>
      <c r="M184" s="16" t="str">
        <f>HYPERLINK("http://slimages.macys.com/is/image/MCY/18371419 ")</f>
        <v xml:space="preserve">http://slimages.macys.com/is/image/MCY/18371419 </v>
      </c>
      <c r="N184" s="30"/>
    </row>
    <row r="185" spans="1:14" ht="60" x14ac:dyDescent="0.25">
      <c r="A185" s="19" t="s">
        <v>7510</v>
      </c>
      <c r="B185" s="17" t="s">
        <v>7509</v>
      </c>
      <c r="C185" s="20">
        <v>2</v>
      </c>
      <c r="D185" s="18">
        <v>75</v>
      </c>
      <c r="E185" s="20" t="s">
        <v>559</v>
      </c>
      <c r="F185" s="17" t="s">
        <v>51</v>
      </c>
      <c r="G185" s="19" t="s">
        <v>197</v>
      </c>
      <c r="H185" s="18">
        <v>16</v>
      </c>
      <c r="I185" s="17" t="s">
        <v>80</v>
      </c>
      <c r="J185" s="17" t="s">
        <v>531</v>
      </c>
      <c r="K185" s="17"/>
      <c r="L185" s="17"/>
      <c r="M185" s="16" t="str">
        <f>HYPERLINK("http://slimages.macys.com/is/image/MCY/18371419 ")</f>
        <v xml:space="preserve">http://slimages.macys.com/is/image/MCY/18371419 </v>
      </c>
      <c r="N185" s="30"/>
    </row>
    <row r="186" spans="1:14" ht="60" x14ac:dyDescent="0.25">
      <c r="A186" s="19" t="s">
        <v>7508</v>
      </c>
      <c r="B186" s="17" t="s">
        <v>7507</v>
      </c>
      <c r="C186" s="20">
        <v>1</v>
      </c>
      <c r="D186" s="18">
        <v>66.75</v>
      </c>
      <c r="E186" s="20" t="s">
        <v>6637</v>
      </c>
      <c r="F186" s="17" t="s">
        <v>51</v>
      </c>
      <c r="G186" s="19" t="s">
        <v>1155</v>
      </c>
      <c r="H186" s="18">
        <v>15.573333333333332</v>
      </c>
      <c r="I186" s="17" t="s">
        <v>33</v>
      </c>
      <c r="J186" s="17" t="s">
        <v>32</v>
      </c>
      <c r="K186" s="17"/>
      <c r="L186" s="17"/>
      <c r="M186" s="16" t="str">
        <f>HYPERLINK("http://slimages.macys.com/is/image/MCY/20460099 ")</f>
        <v xml:space="preserve">http://slimages.macys.com/is/image/MCY/20460099 </v>
      </c>
      <c r="N186" s="30"/>
    </row>
    <row r="187" spans="1:14" ht="60" x14ac:dyDescent="0.25">
      <c r="A187" s="19" t="s">
        <v>7506</v>
      </c>
      <c r="B187" s="17" t="s">
        <v>7505</v>
      </c>
      <c r="C187" s="20">
        <v>1</v>
      </c>
      <c r="D187" s="18">
        <v>66.75</v>
      </c>
      <c r="E187" s="20" t="s">
        <v>6637</v>
      </c>
      <c r="F187" s="17" t="s">
        <v>51</v>
      </c>
      <c r="G187" s="19" t="s">
        <v>669</v>
      </c>
      <c r="H187" s="18">
        <v>15.573333333333332</v>
      </c>
      <c r="I187" s="17" t="s">
        <v>33</v>
      </c>
      <c r="J187" s="17" t="s">
        <v>32</v>
      </c>
      <c r="K187" s="17"/>
      <c r="L187" s="17"/>
      <c r="M187" s="16" t="str">
        <f>HYPERLINK("http://slimages.macys.com/is/image/MCY/20460099 ")</f>
        <v xml:space="preserve">http://slimages.macys.com/is/image/MCY/20460099 </v>
      </c>
      <c r="N187" s="30"/>
    </row>
    <row r="188" spans="1:14" ht="60" x14ac:dyDescent="0.25">
      <c r="A188" s="19" t="s">
        <v>7504</v>
      </c>
      <c r="B188" s="17" t="s">
        <v>7503</v>
      </c>
      <c r="C188" s="20">
        <v>1</v>
      </c>
      <c r="D188" s="18">
        <v>99</v>
      </c>
      <c r="E188" s="20">
        <v>2331903</v>
      </c>
      <c r="F188" s="17" t="s">
        <v>124</v>
      </c>
      <c r="G188" s="19" t="s">
        <v>116</v>
      </c>
      <c r="H188" s="18">
        <v>15.333333333333332</v>
      </c>
      <c r="I188" s="17" t="s">
        <v>80</v>
      </c>
      <c r="J188" s="17" t="s">
        <v>293</v>
      </c>
      <c r="K188" s="17"/>
      <c r="L188" s="17"/>
      <c r="M188" s="16" t="str">
        <f>HYPERLINK("http://slimages.macys.com/is/image/MCY/19191739 ")</f>
        <v xml:space="preserve">http://slimages.macys.com/is/image/MCY/19191739 </v>
      </c>
      <c r="N188" s="30"/>
    </row>
    <row r="189" spans="1:14" ht="60" x14ac:dyDescent="0.25">
      <c r="A189" s="19" t="s">
        <v>7502</v>
      </c>
      <c r="B189" s="17" t="s">
        <v>7501</v>
      </c>
      <c r="C189" s="20">
        <v>1</v>
      </c>
      <c r="D189" s="18">
        <v>99</v>
      </c>
      <c r="E189" s="20">
        <v>2331903</v>
      </c>
      <c r="F189" s="17" t="s">
        <v>28</v>
      </c>
      <c r="G189" s="19" t="s">
        <v>116</v>
      </c>
      <c r="H189" s="18">
        <v>15.333333333333332</v>
      </c>
      <c r="I189" s="17" t="s">
        <v>80</v>
      </c>
      <c r="J189" s="17" t="s">
        <v>293</v>
      </c>
      <c r="K189" s="17"/>
      <c r="L189" s="17"/>
      <c r="M189" s="16" t="str">
        <f>HYPERLINK("http://slimages.macys.com/is/image/MCY/19191739 ")</f>
        <v xml:space="preserve">http://slimages.macys.com/is/image/MCY/19191739 </v>
      </c>
      <c r="N189" s="30"/>
    </row>
    <row r="190" spans="1:14" ht="60" x14ac:dyDescent="0.25">
      <c r="A190" s="19" t="s">
        <v>7500</v>
      </c>
      <c r="B190" s="17" t="s">
        <v>7499</v>
      </c>
      <c r="C190" s="20">
        <v>1</v>
      </c>
      <c r="D190" s="18">
        <v>99</v>
      </c>
      <c r="E190" s="20">
        <v>2331903</v>
      </c>
      <c r="F190" s="17" t="s">
        <v>1022</v>
      </c>
      <c r="G190" s="19" t="s">
        <v>96</v>
      </c>
      <c r="H190" s="18">
        <v>15.333333333333332</v>
      </c>
      <c r="I190" s="17" t="s">
        <v>80</v>
      </c>
      <c r="J190" s="17" t="s">
        <v>293</v>
      </c>
      <c r="K190" s="17"/>
      <c r="L190" s="17"/>
      <c r="M190" s="16" t="str">
        <f>HYPERLINK("http://slimages.macys.com/is/image/MCY/19191739 ")</f>
        <v xml:space="preserve">http://slimages.macys.com/is/image/MCY/19191739 </v>
      </c>
      <c r="N190" s="30"/>
    </row>
    <row r="191" spans="1:14" ht="60" x14ac:dyDescent="0.25">
      <c r="A191" s="19" t="s">
        <v>7498</v>
      </c>
      <c r="B191" s="17" t="s">
        <v>7497</v>
      </c>
      <c r="C191" s="20">
        <v>1</v>
      </c>
      <c r="D191" s="18">
        <v>79</v>
      </c>
      <c r="E191" s="20">
        <v>10688318</v>
      </c>
      <c r="F191" s="17" t="s">
        <v>51</v>
      </c>
      <c r="G191" s="19" t="s">
        <v>773</v>
      </c>
      <c r="H191" s="18">
        <v>15.273333333333333</v>
      </c>
      <c r="I191" s="17" t="s">
        <v>144</v>
      </c>
      <c r="J191" s="17" t="s">
        <v>143</v>
      </c>
      <c r="K191" s="17" t="s">
        <v>389</v>
      </c>
      <c r="L191" s="17" t="s">
        <v>662</v>
      </c>
      <c r="M191" s="16" t="str">
        <f>HYPERLINK("http://slimages.macys.com/is/image/MCY/9570082 ")</f>
        <v xml:space="preserve">http://slimages.macys.com/is/image/MCY/9570082 </v>
      </c>
      <c r="N191" s="30"/>
    </row>
    <row r="192" spans="1:14" ht="60" x14ac:dyDescent="0.25">
      <c r="A192" s="19" t="s">
        <v>7496</v>
      </c>
      <c r="B192" s="17" t="s">
        <v>7495</v>
      </c>
      <c r="C192" s="20">
        <v>1</v>
      </c>
      <c r="D192" s="18">
        <v>69</v>
      </c>
      <c r="E192" s="20" t="s">
        <v>7494</v>
      </c>
      <c r="F192" s="17"/>
      <c r="G192" s="19"/>
      <c r="H192" s="18">
        <v>15.226666666666667</v>
      </c>
      <c r="I192" s="17" t="s">
        <v>49</v>
      </c>
      <c r="J192" s="17" t="s">
        <v>48</v>
      </c>
      <c r="K192" s="17"/>
      <c r="L192" s="17"/>
      <c r="M192" s="16" t="str">
        <f>HYPERLINK("http://slimages.macys.com/is/image/MCY/19061101 ")</f>
        <v xml:space="preserve">http://slimages.macys.com/is/image/MCY/19061101 </v>
      </c>
      <c r="N192" s="30"/>
    </row>
    <row r="193" spans="1:14" ht="60" x14ac:dyDescent="0.25">
      <c r="A193" s="19" t="s">
        <v>7493</v>
      </c>
      <c r="B193" s="17" t="s">
        <v>7492</v>
      </c>
      <c r="C193" s="20">
        <v>1</v>
      </c>
      <c r="D193" s="18">
        <v>69</v>
      </c>
      <c r="E193" s="20" t="s">
        <v>7491</v>
      </c>
      <c r="F193" s="17" t="s">
        <v>1356</v>
      </c>
      <c r="G193" s="19" t="s">
        <v>22</v>
      </c>
      <c r="H193" s="18">
        <v>15.226666666666667</v>
      </c>
      <c r="I193" s="17" t="s">
        <v>49</v>
      </c>
      <c r="J193" s="17" t="s">
        <v>48</v>
      </c>
      <c r="K193" s="17"/>
      <c r="L193" s="17"/>
      <c r="M193" s="16" t="str">
        <f>HYPERLINK("http://slimages.macys.com/is/image/MCY/18775265 ")</f>
        <v xml:space="preserve">http://slimages.macys.com/is/image/MCY/18775265 </v>
      </c>
      <c r="N193" s="30"/>
    </row>
    <row r="194" spans="1:14" ht="60" x14ac:dyDescent="0.25">
      <c r="A194" s="19" t="s">
        <v>7490</v>
      </c>
      <c r="B194" s="17" t="s">
        <v>7489</v>
      </c>
      <c r="C194" s="20">
        <v>1</v>
      </c>
      <c r="D194" s="18">
        <v>69</v>
      </c>
      <c r="E194" s="20" t="s">
        <v>7488</v>
      </c>
      <c r="F194" s="17" t="s">
        <v>345</v>
      </c>
      <c r="G194" s="19" t="s">
        <v>62</v>
      </c>
      <c r="H194" s="18">
        <v>15.226666666666667</v>
      </c>
      <c r="I194" s="17" t="s">
        <v>49</v>
      </c>
      <c r="J194" s="17" t="s">
        <v>48</v>
      </c>
      <c r="K194" s="17"/>
      <c r="L194" s="17"/>
      <c r="M194" s="16" t="str">
        <f>HYPERLINK("http://slimages.macys.com/is/image/MCY/19500119 ")</f>
        <v xml:space="preserve">http://slimages.macys.com/is/image/MCY/19500119 </v>
      </c>
      <c r="N194" s="30"/>
    </row>
    <row r="195" spans="1:14" ht="60" x14ac:dyDescent="0.25">
      <c r="A195" s="19" t="s">
        <v>7487</v>
      </c>
      <c r="B195" s="17" t="s">
        <v>7486</v>
      </c>
      <c r="C195" s="20">
        <v>1</v>
      </c>
      <c r="D195" s="18">
        <v>89.5</v>
      </c>
      <c r="E195" s="20" t="s">
        <v>7485</v>
      </c>
      <c r="F195" s="17" t="s">
        <v>51</v>
      </c>
      <c r="G195" s="19" t="s">
        <v>139</v>
      </c>
      <c r="H195" s="18">
        <v>15.133333333333335</v>
      </c>
      <c r="I195" s="17" t="s">
        <v>267</v>
      </c>
      <c r="J195" s="17" t="s">
        <v>32</v>
      </c>
      <c r="K195" s="17"/>
      <c r="L195" s="17"/>
      <c r="M195" s="16" t="str">
        <f>HYPERLINK("http://slimages.macys.com/is/image/MCY/18064057 ")</f>
        <v xml:space="preserve">http://slimages.macys.com/is/image/MCY/18064057 </v>
      </c>
      <c r="N195" s="30"/>
    </row>
    <row r="196" spans="1:14" ht="60" x14ac:dyDescent="0.25">
      <c r="A196" s="19" t="s">
        <v>7484</v>
      </c>
      <c r="B196" s="17" t="s">
        <v>7483</v>
      </c>
      <c r="C196" s="20">
        <v>1</v>
      </c>
      <c r="D196" s="18">
        <v>79.5</v>
      </c>
      <c r="E196" s="20" t="s">
        <v>7482</v>
      </c>
      <c r="F196" s="17" t="s">
        <v>58</v>
      </c>
      <c r="G196" s="19" t="s">
        <v>139</v>
      </c>
      <c r="H196" s="18">
        <v>14.973333333333334</v>
      </c>
      <c r="I196" s="17" t="s">
        <v>1891</v>
      </c>
      <c r="J196" s="17" t="s">
        <v>2435</v>
      </c>
      <c r="K196" s="17"/>
      <c r="L196" s="17"/>
      <c r="M196" s="16" t="str">
        <f>HYPERLINK("http://slimages.macys.com/is/image/MCY/19017242 ")</f>
        <v xml:space="preserve">http://slimages.macys.com/is/image/MCY/19017242 </v>
      </c>
      <c r="N196" s="30"/>
    </row>
    <row r="197" spans="1:14" ht="60" x14ac:dyDescent="0.25">
      <c r="A197" s="19" t="s">
        <v>7481</v>
      </c>
      <c r="B197" s="17" t="s">
        <v>7480</v>
      </c>
      <c r="C197" s="20">
        <v>1</v>
      </c>
      <c r="D197" s="18">
        <v>79.5</v>
      </c>
      <c r="E197" s="20" t="s">
        <v>7479</v>
      </c>
      <c r="F197" s="17" t="s">
        <v>58</v>
      </c>
      <c r="G197" s="19" t="s">
        <v>197</v>
      </c>
      <c r="H197" s="18">
        <v>14.973333333333334</v>
      </c>
      <c r="I197" s="17" t="s">
        <v>68</v>
      </c>
      <c r="J197" s="17" t="s">
        <v>67</v>
      </c>
      <c r="K197" s="17"/>
      <c r="L197" s="17"/>
      <c r="M197" s="16" t="str">
        <f>HYPERLINK("http://slimages.macys.com/is/image/MCY/18047235 ")</f>
        <v xml:space="preserve">http://slimages.macys.com/is/image/MCY/18047235 </v>
      </c>
      <c r="N197" s="30"/>
    </row>
    <row r="198" spans="1:14" ht="60" x14ac:dyDescent="0.25">
      <c r="A198" s="19" t="s">
        <v>7478</v>
      </c>
      <c r="B198" s="17" t="s">
        <v>7477</v>
      </c>
      <c r="C198" s="20">
        <v>1</v>
      </c>
      <c r="D198" s="18">
        <v>79.5</v>
      </c>
      <c r="E198" s="20" t="s">
        <v>7476</v>
      </c>
      <c r="F198" s="17" t="s">
        <v>23</v>
      </c>
      <c r="G198" s="19" t="s">
        <v>139</v>
      </c>
      <c r="H198" s="18">
        <v>14.973333333333334</v>
      </c>
      <c r="I198" s="17" t="s">
        <v>1891</v>
      </c>
      <c r="J198" s="17" t="s">
        <v>67</v>
      </c>
      <c r="K198" s="17"/>
      <c r="L198" s="17"/>
      <c r="M198" s="16" t="str">
        <f>HYPERLINK("http://slimages.macys.com/is/image/MCY/16862284 ")</f>
        <v xml:space="preserve">http://slimages.macys.com/is/image/MCY/16862284 </v>
      </c>
      <c r="N198" s="30"/>
    </row>
    <row r="199" spans="1:14" ht="60" x14ac:dyDescent="0.25">
      <c r="A199" s="19" t="s">
        <v>4492</v>
      </c>
      <c r="B199" s="17" t="s">
        <v>4491</v>
      </c>
      <c r="C199" s="20">
        <v>1</v>
      </c>
      <c r="D199" s="18">
        <v>79.5</v>
      </c>
      <c r="E199" s="20" t="s">
        <v>3737</v>
      </c>
      <c r="F199" s="17" t="s">
        <v>330</v>
      </c>
      <c r="G199" s="19"/>
      <c r="H199" s="18">
        <v>14.966666666666669</v>
      </c>
      <c r="I199" s="17" t="s">
        <v>1891</v>
      </c>
      <c r="J199" s="17" t="s">
        <v>2435</v>
      </c>
      <c r="K199" s="17"/>
      <c r="L199" s="17"/>
      <c r="M199" s="16" t="str">
        <f>HYPERLINK("http://slimages.macys.com/is/image/MCY/19507875 ")</f>
        <v xml:space="preserve">http://slimages.macys.com/is/image/MCY/19507875 </v>
      </c>
      <c r="N199" s="30"/>
    </row>
    <row r="200" spans="1:14" ht="60" x14ac:dyDescent="0.25">
      <c r="A200" s="19" t="s">
        <v>7475</v>
      </c>
      <c r="B200" s="17" t="s">
        <v>7474</v>
      </c>
      <c r="C200" s="20">
        <v>1</v>
      </c>
      <c r="D200" s="18">
        <v>59.25</v>
      </c>
      <c r="E200" s="20">
        <v>10688319</v>
      </c>
      <c r="F200" s="17" t="s">
        <v>28</v>
      </c>
      <c r="G200" s="19" t="s">
        <v>874</v>
      </c>
      <c r="H200" s="18">
        <v>14.933333333333335</v>
      </c>
      <c r="I200" s="17" t="s">
        <v>33</v>
      </c>
      <c r="J200" s="17" t="s">
        <v>143</v>
      </c>
      <c r="K200" s="17" t="s">
        <v>389</v>
      </c>
      <c r="L200" s="17" t="s">
        <v>662</v>
      </c>
      <c r="M200" s="16" t="str">
        <f>HYPERLINK("http://slimages.macys.com/is/image/MCY/9936523 ")</f>
        <v xml:space="preserve">http://slimages.macys.com/is/image/MCY/9936523 </v>
      </c>
      <c r="N200" s="30"/>
    </row>
    <row r="201" spans="1:14" ht="60" x14ac:dyDescent="0.25">
      <c r="A201" s="19" t="s">
        <v>7473</v>
      </c>
      <c r="B201" s="17" t="s">
        <v>7472</v>
      </c>
      <c r="C201" s="20">
        <v>1</v>
      </c>
      <c r="D201" s="18">
        <v>59.25</v>
      </c>
      <c r="E201" s="20">
        <v>10688319</v>
      </c>
      <c r="F201" s="17" t="s">
        <v>51</v>
      </c>
      <c r="G201" s="19" t="s">
        <v>669</v>
      </c>
      <c r="H201" s="18">
        <v>14.933333333333335</v>
      </c>
      <c r="I201" s="17" t="s">
        <v>33</v>
      </c>
      <c r="J201" s="17" t="s">
        <v>143</v>
      </c>
      <c r="K201" s="17" t="s">
        <v>389</v>
      </c>
      <c r="L201" s="17" t="s">
        <v>662</v>
      </c>
      <c r="M201" s="16" t="str">
        <f>HYPERLINK("http://slimages.macys.com/is/image/MCY/9936523 ")</f>
        <v xml:space="preserve">http://slimages.macys.com/is/image/MCY/9936523 </v>
      </c>
      <c r="N201" s="30"/>
    </row>
    <row r="202" spans="1:14" ht="60" x14ac:dyDescent="0.25">
      <c r="A202" s="19" t="s">
        <v>7471</v>
      </c>
      <c r="B202" s="17" t="s">
        <v>7470</v>
      </c>
      <c r="C202" s="20">
        <v>1</v>
      </c>
      <c r="D202" s="18">
        <v>59.25</v>
      </c>
      <c r="E202" s="20">
        <v>10688319</v>
      </c>
      <c r="F202" s="17" t="s">
        <v>51</v>
      </c>
      <c r="G202" s="19" t="s">
        <v>874</v>
      </c>
      <c r="H202" s="18">
        <v>14.933333333333335</v>
      </c>
      <c r="I202" s="17" t="s">
        <v>33</v>
      </c>
      <c r="J202" s="17" t="s">
        <v>143</v>
      </c>
      <c r="K202" s="17" t="s">
        <v>389</v>
      </c>
      <c r="L202" s="17" t="s">
        <v>662</v>
      </c>
      <c r="M202" s="16" t="str">
        <f>HYPERLINK("http://slimages.macys.com/is/image/MCY/9936523 ")</f>
        <v xml:space="preserve">http://slimages.macys.com/is/image/MCY/9936523 </v>
      </c>
      <c r="N202" s="30"/>
    </row>
    <row r="203" spans="1:14" ht="60" x14ac:dyDescent="0.25">
      <c r="A203" s="19" t="s">
        <v>7469</v>
      </c>
      <c r="B203" s="17" t="s">
        <v>7468</v>
      </c>
      <c r="C203" s="20">
        <v>1</v>
      </c>
      <c r="D203" s="18">
        <v>59.25</v>
      </c>
      <c r="E203" s="20">
        <v>10688319</v>
      </c>
      <c r="F203" s="17" t="s">
        <v>51</v>
      </c>
      <c r="G203" s="19" t="s">
        <v>1155</v>
      </c>
      <c r="H203" s="18">
        <v>14.933333333333335</v>
      </c>
      <c r="I203" s="17" t="s">
        <v>33</v>
      </c>
      <c r="J203" s="17" t="s">
        <v>143</v>
      </c>
      <c r="K203" s="17" t="s">
        <v>389</v>
      </c>
      <c r="L203" s="17" t="s">
        <v>662</v>
      </c>
      <c r="M203" s="16" t="str">
        <f>HYPERLINK("http://slimages.macys.com/is/image/MCY/9936523 ")</f>
        <v xml:space="preserve">http://slimages.macys.com/is/image/MCY/9936523 </v>
      </c>
      <c r="N203" s="30"/>
    </row>
    <row r="204" spans="1:14" ht="60" x14ac:dyDescent="0.25">
      <c r="A204" s="19" t="s">
        <v>7467</v>
      </c>
      <c r="B204" s="17" t="s">
        <v>7466</v>
      </c>
      <c r="C204" s="20">
        <v>1</v>
      </c>
      <c r="D204" s="18">
        <v>59.25</v>
      </c>
      <c r="E204" s="20">
        <v>10677867</v>
      </c>
      <c r="F204" s="17" t="s">
        <v>51</v>
      </c>
      <c r="G204" s="19" t="s">
        <v>874</v>
      </c>
      <c r="H204" s="18">
        <v>14.933333333333335</v>
      </c>
      <c r="I204" s="17" t="s">
        <v>33</v>
      </c>
      <c r="J204" s="17" t="s">
        <v>143</v>
      </c>
      <c r="K204" s="17" t="s">
        <v>389</v>
      </c>
      <c r="L204" s="17" t="s">
        <v>1154</v>
      </c>
      <c r="M204" s="16" t="str">
        <f>HYPERLINK("http://slimages.macys.com/is/image/MCY/9441614 ")</f>
        <v xml:space="preserve">http://slimages.macys.com/is/image/MCY/9441614 </v>
      </c>
      <c r="N204" s="30"/>
    </row>
    <row r="205" spans="1:14" ht="60" x14ac:dyDescent="0.25">
      <c r="A205" s="19" t="s">
        <v>7465</v>
      </c>
      <c r="B205" s="17" t="s">
        <v>7464</v>
      </c>
      <c r="C205" s="20">
        <v>1</v>
      </c>
      <c r="D205" s="18">
        <v>89</v>
      </c>
      <c r="E205" s="20">
        <v>7099381</v>
      </c>
      <c r="F205" s="17" t="s">
        <v>91</v>
      </c>
      <c r="G205" s="19" t="s">
        <v>658</v>
      </c>
      <c r="H205" s="18">
        <v>14.833333333333334</v>
      </c>
      <c r="I205" s="17" t="s">
        <v>111</v>
      </c>
      <c r="J205" s="17" t="s">
        <v>110</v>
      </c>
      <c r="K205" s="17"/>
      <c r="L205" s="17"/>
      <c r="M205" s="16" t="str">
        <f>HYPERLINK("http://slimages.macys.com/is/image/MCY/18914178 ")</f>
        <v xml:space="preserve">http://slimages.macys.com/is/image/MCY/18914178 </v>
      </c>
      <c r="N205" s="30"/>
    </row>
    <row r="206" spans="1:14" ht="60" x14ac:dyDescent="0.25">
      <c r="A206" s="19" t="s">
        <v>4484</v>
      </c>
      <c r="B206" s="17" t="s">
        <v>4483</v>
      </c>
      <c r="C206" s="20">
        <v>1</v>
      </c>
      <c r="D206" s="18">
        <v>89</v>
      </c>
      <c r="E206" s="20">
        <v>7020309</v>
      </c>
      <c r="F206" s="17" t="s">
        <v>91</v>
      </c>
      <c r="G206" s="19" t="s">
        <v>857</v>
      </c>
      <c r="H206" s="18">
        <v>14.833333333333334</v>
      </c>
      <c r="I206" s="17" t="s">
        <v>111</v>
      </c>
      <c r="J206" s="17" t="s">
        <v>110</v>
      </c>
      <c r="K206" s="17"/>
      <c r="L206" s="17"/>
      <c r="M206" s="16" t="str">
        <f>HYPERLINK("http://slimages.macys.com/is/image/MCY/16687760 ")</f>
        <v xml:space="preserve">http://slimages.macys.com/is/image/MCY/16687760 </v>
      </c>
      <c r="N206" s="30"/>
    </row>
    <row r="207" spans="1:14" ht="60" x14ac:dyDescent="0.25">
      <c r="A207" s="19" t="s">
        <v>5824</v>
      </c>
      <c r="B207" s="17" t="s">
        <v>5823</v>
      </c>
      <c r="C207" s="20">
        <v>1</v>
      </c>
      <c r="D207" s="18">
        <v>89</v>
      </c>
      <c r="E207" s="20" t="s">
        <v>5822</v>
      </c>
      <c r="F207" s="17" t="s">
        <v>91</v>
      </c>
      <c r="G207" s="19" t="s">
        <v>101</v>
      </c>
      <c r="H207" s="18">
        <v>14.833333333333334</v>
      </c>
      <c r="I207" s="17" t="s">
        <v>129</v>
      </c>
      <c r="J207" s="17" t="s">
        <v>128</v>
      </c>
      <c r="K207" s="17" t="s">
        <v>637</v>
      </c>
      <c r="L207" s="17" t="s">
        <v>5489</v>
      </c>
      <c r="M207" s="16" t="str">
        <f>HYPERLINK("http://images.bloomingdales.com/is/image/BLM/11504203 ")</f>
        <v xml:space="preserve">http://images.bloomingdales.com/is/image/BLM/11504203 </v>
      </c>
      <c r="N207" s="30"/>
    </row>
    <row r="208" spans="1:14" ht="60" x14ac:dyDescent="0.25">
      <c r="A208" s="19" t="s">
        <v>7463</v>
      </c>
      <c r="B208" s="17" t="s">
        <v>7462</v>
      </c>
      <c r="C208" s="20">
        <v>1</v>
      </c>
      <c r="D208" s="18">
        <v>89</v>
      </c>
      <c r="E208" s="20" t="s">
        <v>7461</v>
      </c>
      <c r="F208" s="17" t="s">
        <v>575</v>
      </c>
      <c r="G208" s="19" t="s">
        <v>101</v>
      </c>
      <c r="H208" s="18">
        <v>14.833333333333334</v>
      </c>
      <c r="I208" s="17" t="s">
        <v>129</v>
      </c>
      <c r="J208" s="17" t="s">
        <v>128</v>
      </c>
      <c r="K208" s="17"/>
      <c r="L208" s="17"/>
      <c r="M208" s="16" t="str">
        <f>HYPERLINK("http://slimages.macys.com/is/image/MCY/19077985 ")</f>
        <v xml:space="preserve">http://slimages.macys.com/is/image/MCY/19077985 </v>
      </c>
      <c r="N208" s="30"/>
    </row>
    <row r="209" spans="1:14" ht="60" x14ac:dyDescent="0.25">
      <c r="A209" s="19" t="s">
        <v>7460</v>
      </c>
      <c r="B209" s="17" t="s">
        <v>7459</v>
      </c>
      <c r="C209" s="20">
        <v>2</v>
      </c>
      <c r="D209" s="18">
        <v>89</v>
      </c>
      <c r="E209" s="20" t="s">
        <v>7458</v>
      </c>
      <c r="F209" s="17" t="s">
        <v>508</v>
      </c>
      <c r="G209" s="19" t="s">
        <v>43</v>
      </c>
      <c r="H209" s="18">
        <v>14.833333333333334</v>
      </c>
      <c r="I209" s="17" t="s">
        <v>129</v>
      </c>
      <c r="J209" s="17" t="s">
        <v>128</v>
      </c>
      <c r="K209" s="17"/>
      <c r="L209" s="17"/>
      <c r="M209" s="16" t="str">
        <f>HYPERLINK("http://slimages.macys.com/is/image/MCY/19115166 ")</f>
        <v xml:space="preserve">http://slimages.macys.com/is/image/MCY/19115166 </v>
      </c>
      <c r="N209" s="30"/>
    </row>
    <row r="210" spans="1:14" ht="60" x14ac:dyDescent="0.25">
      <c r="A210" s="19" t="s">
        <v>7457</v>
      </c>
      <c r="B210" s="17" t="s">
        <v>7456</v>
      </c>
      <c r="C210" s="20">
        <v>1</v>
      </c>
      <c r="D210" s="18">
        <v>89</v>
      </c>
      <c r="E210" s="20">
        <v>8150210</v>
      </c>
      <c r="F210" s="17"/>
      <c r="G210" s="19" t="s">
        <v>43</v>
      </c>
      <c r="H210" s="18">
        <v>14.833333333333334</v>
      </c>
      <c r="I210" s="17" t="s">
        <v>129</v>
      </c>
      <c r="J210" s="17" t="s">
        <v>128</v>
      </c>
      <c r="K210" s="17"/>
      <c r="L210" s="17"/>
      <c r="M210" s="16" t="str">
        <f>HYPERLINK("http://slimages.macys.com/is/image/MCY/20113044 ")</f>
        <v xml:space="preserve">http://slimages.macys.com/is/image/MCY/20113044 </v>
      </c>
      <c r="N210" s="30"/>
    </row>
    <row r="211" spans="1:14" ht="60" x14ac:dyDescent="0.25">
      <c r="A211" s="19" t="s">
        <v>3717</v>
      </c>
      <c r="B211" s="17" t="s">
        <v>3716</v>
      </c>
      <c r="C211" s="20">
        <v>1</v>
      </c>
      <c r="D211" s="18">
        <v>89</v>
      </c>
      <c r="E211" s="20">
        <v>8111533200000000</v>
      </c>
      <c r="F211" s="17"/>
      <c r="G211" s="19" t="s">
        <v>62</v>
      </c>
      <c r="H211" s="18">
        <v>14.833333333333334</v>
      </c>
      <c r="I211" s="17" t="s">
        <v>129</v>
      </c>
      <c r="J211" s="17" t="s">
        <v>128</v>
      </c>
      <c r="K211" s="17"/>
      <c r="L211" s="17"/>
      <c r="M211" s="16" t="str">
        <f>HYPERLINK("http://slimages.macys.com/is/image/MCY/18792054 ")</f>
        <v xml:space="preserve">http://slimages.macys.com/is/image/MCY/18792054 </v>
      </c>
      <c r="N211" s="30"/>
    </row>
    <row r="212" spans="1:14" ht="60" x14ac:dyDescent="0.25">
      <c r="A212" s="19" t="s">
        <v>7455</v>
      </c>
      <c r="B212" s="17" t="s">
        <v>7454</v>
      </c>
      <c r="C212" s="20">
        <v>1</v>
      </c>
      <c r="D212" s="18">
        <v>89</v>
      </c>
      <c r="E212" s="20">
        <v>811153230000</v>
      </c>
      <c r="F212" s="17" t="s">
        <v>35</v>
      </c>
      <c r="G212" s="19" t="s">
        <v>50</v>
      </c>
      <c r="H212" s="18">
        <v>14.833333333333334</v>
      </c>
      <c r="I212" s="17" t="s">
        <v>129</v>
      </c>
      <c r="J212" s="17" t="s">
        <v>128</v>
      </c>
      <c r="K212" s="17"/>
      <c r="L212" s="17"/>
      <c r="M212" s="16" t="str">
        <f>HYPERLINK("http://slimages.macys.com/is/image/MCY/18792046 ")</f>
        <v xml:space="preserve">http://slimages.macys.com/is/image/MCY/18792046 </v>
      </c>
      <c r="N212" s="30"/>
    </row>
    <row r="213" spans="1:14" ht="60" x14ac:dyDescent="0.25">
      <c r="A213" s="19" t="s">
        <v>7453</v>
      </c>
      <c r="B213" s="17" t="s">
        <v>7452</v>
      </c>
      <c r="C213" s="20">
        <v>1</v>
      </c>
      <c r="D213" s="18">
        <v>79</v>
      </c>
      <c r="E213" s="20" t="s">
        <v>3701</v>
      </c>
      <c r="F213" s="17" t="s">
        <v>58</v>
      </c>
      <c r="G213" s="19" t="s">
        <v>96</v>
      </c>
      <c r="H213" s="18">
        <v>14.586666666666668</v>
      </c>
      <c r="I213" s="17" t="s">
        <v>405</v>
      </c>
      <c r="J213" s="17" t="s">
        <v>404</v>
      </c>
      <c r="K213" s="17"/>
      <c r="L213" s="17"/>
      <c r="M213" s="16" t="str">
        <f>HYPERLINK("http://slimages.macys.com/is/image/MCY/19079550 ")</f>
        <v xml:space="preserve">http://slimages.macys.com/is/image/MCY/19079550 </v>
      </c>
      <c r="N213" s="30"/>
    </row>
    <row r="214" spans="1:14" ht="60" x14ac:dyDescent="0.25">
      <c r="A214" s="19" t="s">
        <v>7451</v>
      </c>
      <c r="B214" s="17" t="s">
        <v>7450</v>
      </c>
      <c r="C214" s="20">
        <v>1</v>
      </c>
      <c r="D214" s="18">
        <v>79.5</v>
      </c>
      <c r="E214" s="20" t="s">
        <v>7449</v>
      </c>
      <c r="F214" s="17" t="s">
        <v>272</v>
      </c>
      <c r="G214" s="19" t="s">
        <v>139</v>
      </c>
      <c r="H214" s="18">
        <v>14.573333333333334</v>
      </c>
      <c r="I214" s="17" t="s">
        <v>267</v>
      </c>
      <c r="J214" s="17" t="s">
        <v>32</v>
      </c>
      <c r="K214" s="17"/>
      <c r="L214" s="17"/>
      <c r="M214" s="16" t="str">
        <f>HYPERLINK("http://slimages.macys.com/is/image/MCY/18305750 ")</f>
        <v xml:space="preserve">http://slimages.macys.com/is/image/MCY/18305750 </v>
      </c>
      <c r="N214" s="30"/>
    </row>
    <row r="215" spans="1:14" ht="60" x14ac:dyDescent="0.25">
      <c r="A215" s="19" t="s">
        <v>7448</v>
      </c>
      <c r="B215" s="17" t="s">
        <v>7447</v>
      </c>
      <c r="C215" s="20">
        <v>1</v>
      </c>
      <c r="D215" s="18">
        <v>51.75</v>
      </c>
      <c r="E215" s="20">
        <v>10763861</v>
      </c>
      <c r="F215" s="17" t="s">
        <v>23</v>
      </c>
      <c r="G215" s="19" t="s">
        <v>738</v>
      </c>
      <c r="H215" s="18">
        <v>14.493333333333334</v>
      </c>
      <c r="I215" s="17" t="s">
        <v>33</v>
      </c>
      <c r="J215" s="17" t="s">
        <v>143</v>
      </c>
      <c r="K215" s="17"/>
      <c r="L215" s="17"/>
      <c r="M215" s="16" t="str">
        <f>HYPERLINK("http://slimages.macys.com/is/image/MCY/18301576 ")</f>
        <v xml:space="preserve">http://slimages.macys.com/is/image/MCY/18301576 </v>
      </c>
      <c r="N215" s="30"/>
    </row>
    <row r="216" spans="1:14" ht="60" x14ac:dyDescent="0.25">
      <c r="A216" s="19" t="s">
        <v>7446</v>
      </c>
      <c r="B216" s="17" t="s">
        <v>7445</v>
      </c>
      <c r="C216" s="20">
        <v>1</v>
      </c>
      <c r="D216" s="18">
        <v>51.75</v>
      </c>
      <c r="E216" s="20">
        <v>10804502</v>
      </c>
      <c r="F216" s="17" t="s">
        <v>23</v>
      </c>
      <c r="G216" s="19" t="s">
        <v>271</v>
      </c>
      <c r="H216" s="18">
        <v>14.493333333333334</v>
      </c>
      <c r="I216" s="17" t="s">
        <v>358</v>
      </c>
      <c r="J216" s="17" t="s">
        <v>143</v>
      </c>
      <c r="K216" s="17"/>
      <c r="L216" s="17"/>
      <c r="M216" s="16" t="str">
        <f>HYPERLINK("http://slimages.macys.com/is/image/MCY/19096315 ")</f>
        <v xml:space="preserve">http://slimages.macys.com/is/image/MCY/19096315 </v>
      </c>
      <c r="N216" s="30"/>
    </row>
    <row r="217" spans="1:14" ht="60" x14ac:dyDescent="0.25">
      <c r="A217" s="19" t="s">
        <v>7444</v>
      </c>
      <c r="B217" s="17" t="s">
        <v>7443</v>
      </c>
      <c r="C217" s="20">
        <v>1</v>
      </c>
      <c r="D217" s="18">
        <v>79</v>
      </c>
      <c r="E217" s="20">
        <v>10717582</v>
      </c>
      <c r="F217" s="17" t="s">
        <v>164</v>
      </c>
      <c r="G217" s="19" t="s">
        <v>1292</v>
      </c>
      <c r="H217" s="18">
        <v>14.486666666666668</v>
      </c>
      <c r="I217" s="17" t="s">
        <v>358</v>
      </c>
      <c r="J217" s="17" t="s">
        <v>554</v>
      </c>
      <c r="K217" s="17" t="s">
        <v>389</v>
      </c>
      <c r="L217" s="17" t="s">
        <v>5074</v>
      </c>
      <c r="M217" s="16" t="str">
        <f>HYPERLINK("http://slimages.macys.com/is/image/MCY/14454118 ")</f>
        <v xml:space="preserve">http://slimages.macys.com/is/image/MCY/14454118 </v>
      </c>
      <c r="N217" s="30"/>
    </row>
    <row r="218" spans="1:14" ht="60" x14ac:dyDescent="0.25">
      <c r="A218" s="19" t="s">
        <v>2752</v>
      </c>
      <c r="B218" s="17" t="s">
        <v>2751</v>
      </c>
      <c r="C218" s="20">
        <v>1</v>
      </c>
      <c r="D218" s="18">
        <v>69</v>
      </c>
      <c r="E218" s="20">
        <v>10763860</v>
      </c>
      <c r="F218" s="17" t="s">
        <v>23</v>
      </c>
      <c r="G218" s="19" t="s">
        <v>773</v>
      </c>
      <c r="H218" s="18">
        <v>14.26</v>
      </c>
      <c r="I218" s="17" t="s">
        <v>144</v>
      </c>
      <c r="J218" s="17" t="s">
        <v>143</v>
      </c>
      <c r="K218" s="17"/>
      <c r="L218" s="17"/>
      <c r="M218" s="16" t="str">
        <f>HYPERLINK("http://slimages.macys.com/is/image/MCY/18301576 ")</f>
        <v xml:space="preserve">http://slimages.macys.com/is/image/MCY/18301576 </v>
      </c>
      <c r="N218" s="30"/>
    </row>
    <row r="219" spans="1:14" ht="60" x14ac:dyDescent="0.25">
      <c r="A219" s="19" t="s">
        <v>7442</v>
      </c>
      <c r="B219" s="17" t="s">
        <v>7441</v>
      </c>
      <c r="C219" s="20">
        <v>1</v>
      </c>
      <c r="D219" s="18">
        <v>69</v>
      </c>
      <c r="E219" s="20">
        <v>10804448</v>
      </c>
      <c r="F219" s="17" t="s">
        <v>578</v>
      </c>
      <c r="G219" s="19" t="s">
        <v>197</v>
      </c>
      <c r="H219" s="18">
        <v>14.26</v>
      </c>
      <c r="I219" s="17" t="s">
        <v>144</v>
      </c>
      <c r="J219" s="17" t="s">
        <v>143</v>
      </c>
      <c r="K219" s="17"/>
      <c r="L219" s="17"/>
      <c r="M219" s="16" t="str">
        <f>HYPERLINK("http://slimages.macys.com/is/image/MCY/19096139 ")</f>
        <v xml:space="preserve">http://slimages.macys.com/is/image/MCY/19096139 </v>
      </c>
      <c r="N219" s="30"/>
    </row>
    <row r="220" spans="1:14" ht="60" x14ac:dyDescent="0.25">
      <c r="A220" s="19" t="s">
        <v>7440</v>
      </c>
      <c r="B220" s="17" t="s">
        <v>7439</v>
      </c>
      <c r="C220" s="20">
        <v>1</v>
      </c>
      <c r="D220" s="18">
        <v>69</v>
      </c>
      <c r="E220" s="20">
        <v>10763860</v>
      </c>
      <c r="F220" s="17" t="s">
        <v>23</v>
      </c>
      <c r="G220" s="19" t="s">
        <v>898</v>
      </c>
      <c r="H220" s="18">
        <v>14.26</v>
      </c>
      <c r="I220" s="17" t="s">
        <v>144</v>
      </c>
      <c r="J220" s="17" t="s">
        <v>143</v>
      </c>
      <c r="K220" s="17"/>
      <c r="L220" s="17"/>
      <c r="M220" s="16" t="str">
        <f>HYPERLINK("http://slimages.macys.com/is/image/MCY/18301576 ")</f>
        <v xml:space="preserve">http://slimages.macys.com/is/image/MCY/18301576 </v>
      </c>
      <c r="N220" s="30"/>
    </row>
    <row r="221" spans="1:14" ht="60" x14ac:dyDescent="0.25">
      <c r="A221" s="19" t="s">
        <v>7438</v>
      </c>
      <c r="B221" s="17" t="s">
        <v>7437</v>
      </c>
      <c r="C221" s="20">
        <v>1</v>
      </c>
      <c r="D221" s="18">
        <v>69.5</v>
      </c>
      <c r="E221" s="20" t="s">
        <v>7436</v>
      </c>
      <c r="F221" s="17" t="s">
        <v>1022</v>
      </c>
      <c r="G221" s="19" t="s">
        <v>69</v>
      </c>
      <c r="H221" s="18">
        <v>14.000000000000002</v>
      </c>
      <c r="I221" s="17" t="s">
        <v>106</v>
      </c>
      <c r="J221" s="17" t="s">
        <v>105</v>
      </c>
      <c r="K221" s="17"/>
      <c r="L221" s="17"/>
      <c r="M221" s="16" t="str">
        <f>HYPERLINK("http://slimages.macys.com/is/image/MCY/16942683 ")</f>
        <v xml:space="preserve">http://slimages.macys.com/is/image/MCY/16942683 </v>
      </c>
      <c r="N221" s="30"/>
    </row>
    <row r="222" spans="1:14" ht="60" x14ac:dyDescent="0.25">
      <c r="A222" s="19" t="s">
        <v>7435</v>
      </c>
      <c r="B222" s="17" t="s">
        <v>7434</v>
      </c>
      <c r="C222" s="20">
        <v>1</v>
      </c>
      <c r="D222" s="18">
        <v>69.5</v>
      </c>
      <c r="E222" s="20" t="s">
        <v>3683</v>
      </c>
      <c r="F222" s="17" t="s">
        <v>23</v>
      </c>
      <c r="G222" s="19" t="s">
        <v>74</v>
      </c>
      <c r="H222" s="18">
        <v>14.000000000000002</v>
      </c>
      <c r="I222" s="17" t="s">
        <v>106</v>
      </c>
      <c r="J222" s="17" t="s">
        <v>105</v>
      </c>
      <c r="K222" s="17"/>
      <c r="L222" s="17"/>
      <c r="M222" s="16" t="str">
        <f>HYPERLINK("http://slimages.macys.com/is/image/MCY/19386350 ")</f>
        <v xml:space="preserve">http://slimages.macys.com/is/image/MCY/19386350 </v>
      </c>
      <c r="N222" s="30"/>
    </row>
    <row r="223" spans="1:14" ht="60" x14ac:dyDescent="0.25">
      <c r="A223" s="19" t="s">
        <v>3687</v>
      </c>
      <c r="B223" s="17" t="s">
        <v>3686</v>
      </c>
      <c r="C223" s="20">
        <v>1</v>
      </c>
      <c r="D223" s="18">
        <v>69.5</v>
      </c>
      <c r="E223" s="20" t="s">
        <v>3677</v>
      </c>
      <c r="F223" s="17" t="s">
        <v>51</v>
      </c>
      <c r="G223" s="19" t="s">
        <v>197</v>
      </c>
      <c r="H223" s="18">
        <v>14.000000000000002</v>
      </c>
      <c r="I223" s="17" t="s">
        <v>106</v>
      </c>
      <c r="J223" s="17" t="s">
        <v>105</v>
      </c>
      <c r="K223" s="17"/>
      <c r="L223" s="17"/>
      <c r="M223" s="16" t="str">
        <f>HYPERLINK("http://slimages.macys.com/is/image/MCY/19027336 ")</f>
        <v xml:space="preserve">http://slimages.macys.com/is/image/MCY/19027336 </v>
      </c>
      <c r="N223" s="30"/>
    </row>
    <row r="224" spans="1:14" ht="60" x14ac:dyDescent="0.25">
      <c r="A224" s="19" t="s">
        <v>7433</v>
      </c>
      <c r="B224" s="17" t="s">
        <v>7432</v>
      </c>
      <c r="C224" s="20">
        <v>1</v>
      </c>
      <c r="D224" s="18">
        <v>98</v>
      </c>
      <c r="E224" s="20" t="s">
        <v>7431</v>
      </c>
      <c r="F224" s="17" t="s">
        <v>51</v>
      </c>
      <c r="G224" s="19" t="s">
        <v>62</v>
      </c>
      <c r="H224" s="18">
        <v>13.833333333333336</v>
      </c>
      <c r="I224" s="17" t="s">
        <v>133</v>
      </c>
      <c r="J224" s="17" t="s">
        <v>584</v>
      </c>
      <c r="K224" s="17"/>
      <c r="L224" s="17"/>
      <c r="M224" s="16" t="str">
        <f>HYPERLINK("http://slimages.macys.com/is/image/MCY/18445325 ")</f>
        <v xml:space="preserve">http://slimages.macys.com/is/image/MCY/18445325 </v>
      </c>
      <c r="N224" s="30"/>
    </row>
    <row r="225" spans="1:14" ht="60" x14ac:dyDescent="0.25">
      <c r="A225" s="19" t="s">
        <v>2746</v>
      </c>
      <c r="B225" s="17" t="s">
        <v>2745</v>
      </c>
      <c r="C225" s="20">
        <v>1</v>
      </c>
      <c r="D225" s="18">
        <v>69</v>
      </c>
      <c r="E225" s="20" t="s">
        <v>2744</v>
      </c>
      <c r="F225" s="17" t="s">
        <v>51</v>
      </c>
      <c r="G225" s="19" t="s">
        <v>197</v>
      </c>
      <c r="H225" s="18">
        <v>13.799999999999999</v>
      </c>
      <c r="I225" s="17" t="s">
        <v>144</v>
      </c>
      <c r="J225" s="17" t="s">
        <v>496</v>
      </c>
      <c r="K225" s="17"/>
      <c r="L225" s="17"/>
      <c r="M225" s="16" t="str">
        <f>HYPERLINK("http://slimages.macys.com/is/image/MCY/18850140 ")</f>
        <v xml:space="preserve">http://slimages.macys.com/is/image/MCY/18850140 </v>
      </c>
      <c r="N225" s="30"/>
    </row>
    <row r="226" spans="1:14" ht="60" x14ac:dyDescent="0.25">
      <c r="A226" s="19" t="s">
        <v>7430</v>
      </c>
      <c r="B226" s="17" t="s">
        <v>7429</v>
      </c>
      <c r="C226" s="20">
        <v>1</v>
      </c>
      <c r="D226" s="18">
        <v>69</v>
      </c>
      <c r="E226" s="20" t="s">
        <v>7428</v>
      </c>
      <c r="F226" s="17" t="s">
        <v>508</v>
      </c>
      <c r="G226" s="19" t="s">
        <v>898</v>
      </c>
      <c r="H226" s="18">
        <v>13.799999999999999</v>
      </c>
      <c r="I226" s="17" t="s">
        <v>144</v>
      </c>
      <c r="J226" s="17" t="s">
        <v>496</v>
      </c>
      <c r="K226" s="17"/>
      <c r="L226" s="17"/>
      <c r="M226" s="16" t="str">
        <f>HYPERLINK("http://slimages.macys.com/is/image/MCY/19038206 ")</f>
        <v xml:space="preserve">http://slimages.macys.com/is/image/MCY/19038206 </v>
      </c>
      <c r="N226" s="30"/>
    </row>
    <row r="227" spans="1:14" ht="60" x14ac:dyDescent="0.25">
      <c r="A227" s="19" t="s">
        <v>7427</v>
      </c>
      <c r="B227" s="17" t="s">
        <v>7426</v>
      </c>
      <c r="C227" s="20">
        <v>1</v>
      </c>
      <c r="D227" s="18">
        <v>45</v>
      </c>
      <c r="E227" s="20" t="s">
        <v>7425</v>
      </c>
      <c r="F227" s="17" t="s">
        <v>23</v>
      </c>
      <c r="G227" s="19" t="s">
        <v>17</v>
      </c>
      <c r="H227" s="18">
        <v>13.633333333333333</v>
      </c>
      <c r="I227" s="17" t="s">
        <v>16</v>
      </c>
      <c r="J227" s="17" t="s">
        <v>15</v>
      </c>
      <c r="K227" s="17"/>
      <c r="L227" s="17"/>
      <c r="M227" s="16" t="str">
        <f>HYPERLINK("http://slimages.macys.com/is/image/MCY/17959133 ")</f>
        <v xml:space="preserve">http://slimages.macys.com/is/image/MCY/17959133 </v>
      </c>
      <c r="N227" s="30"/>
    </row>
    <row r="228" spans="1:14" ht="60" x14ac:dyDescent="0.25">
      <c r="A228" s="19" t="s">
        <v>7424</v>
      </c>
      <c r="B228" s="17" t="s">
        <v>7423</v>
      </c>
      <c r="C228" s="20">
        <v>1</v>
      </c>
      <c r="D228" s="18">
        <v>68</v>
      </c>
      <c r="E228" s="20" t="s">
        <v>7422</v>
      </c>
      <c r="F228" s="17" t="s">
        <v>508</v>
      </c>
      <c r="G228" s="19" t="s">
        <v>749</v>
      </c>
      <c r="H228" s="18">
        <v>13.600000000000001</v>
      </c>
      <c r="I228" s="17" t="s">
        <v>148</v>
      </c>
      <c r="J228" s="17" t="s">
        <v>4509</v>
      </c>
      <c r="K228" s="17"/>
      <c r="L228" s="17"/>
      <c r="M228" s="16" t="str">
        <f>HYPERLINK("http://slimages.macys.com/is/image/MCY/17407938 ")</f>
        <v xml:space="preserve">http://slimages.macys.com/is/image/MCY/17407938 </v>
      </c>
      <c r="N228" s="30"/>
    </row>
    <row r="229" spans="1:14" ht="60" x14ac:dyDescent="0.25">
      <c r="A229" s="19" t="s">
        <v>7421</v>
      </c>
      <c r="B229" s="17" t="s">
        <v>7420</v>
      </c>
      <c r="C229" s="20">
        <v>1</v>
      </c>
      <c r="D229" s="18">
        <v>69</v>
      </c>
      <c r="E229" s="20" t="s">
        <v>7419</v>
      </c>
      <c r="F229" s="17" t="s">
        <v>433</v>
      </c>
      <c r="G229" s="19"/>
      <c r="H229" s="18">
        <v>13.526666666666667</v>
      </c>
      <c r="I229" s="17" t="s">
        <v>492</v>
      </c>
      <c r="J229" s="17" t="s">
        <v>491</v>
      </c>
      <c r="K229" s="17"/>
      <c r="L229" s="17"/>
      <c r="M229" s="16" t="str">
        <f>HYPERLINK("http://slimages.macys.com/is/image/MCY/18924285 ")</f>
        <v xml:space="preserve">http://slimages.macys.com/is/image/MCY/18924285 </v>
      </c>
      <c r="N229" s="30"/>
    </row>
    <row r="230" spans="1:14" ht="60" x14ac:dyDescent="0.25">
      <c r="A230" s="19" t="s">
        <v>7418</v>
      </c>
      <c r="B230" s="17" t="s">
        <v>7417</v>
      </c>
      <c r="C230" s="20">
        <v>1</v>
      </c>
      <c r="D230" s="18">
        <v>48</v>
      </c>
      <c r="E230" s="20" t="s">
        <v>7416</v>
      </c>
      <c r="F230" s="17" t="s">
        <v>535</v>
      </c>
      <c r="G230" s="19" t="s">
        <v>74</v>
      </c>
      <c r="H230" s="18">
        <v>13.440000000000001</v>
      </c>
      <c r="I230" s="17" t="s">
        <v>80</v>
      </c>
      <c r="J230" s="17" t="s">
        <v>79</v>
      </c>
      <c r="K230" s="17"/>
      <c r="L230" s="17"/>
      <c r="M230" s="16" t="str">
        <f>HYPERLINK("http://slimages.macys.com/is/image/MCY/18783506 ")</f>
        <v xml:space="preserve">http://slimages.macys.com/is/image/MCY/18783506 </v>
      </c>
      <c r="N230" s="30"/>
    </row>
    <row r="231" spans="1:14" ht="60" x14ac:dyDescent="0.25">
      <c r="A231" s="19" t="s">
        <v>1169</v>
      </c>
      <c r="B231" s="17" t="s">
        <v>1168</v>
      </c>
      <c r="C231" s="20">
        <v>1</v>
      </c>
      <c r="D231" s="18">
        <v>69</v>
      </c>
      <c r="E231" s="20">
        <v>10551766</v>
      </c>
      <c r="F231" s="17" t="s">
        <v>51</v>
      </c>
      <c r="G231" s="19" t="s">
        <v>857</v>
      </c>
      <c r="H231" s="18">
        <v>13.34</v>
      </c>
      <c r="I231" s="17" t="s">
        <v>144</v>
      </c>
      <c r="J231" s="17" t="s">
        <v>143</v>
      </c>
      <c r="K231" s="17" t="s">
        <v>389</v>
      </c>
      <c r="L231" s="17" t="s">
        <v>1167</v>
      </c>
      <c r="M231" s="16" t="str">
        <f>HYPERLINK("http://slimages.macys.com/is/image/MCY/2659502 ")</f>
        <v xml:space="preserve">http://slimages.macys.com/is/image/MCY/2659502 </v>
      </c>
      <c r="N231" s="30"/>
    </row>
    <row r="232" spans="1:14" ht="60" x14ac:dyDescent="0.25">
      <c r="A232" s="19" t="s">
        <v>7415</v>
      </c>
      <c r="B232" s="17" t="s">
        <v>7414</v>
      </c>
      <c r="C232" s="20">
        <v>1</v>
      </c>
      <c r="D232" s="18">
        <v>69</v>
      </c>
      <c r="E232" s="20">
        <v>10551766</v>
      </c>
      <c r="F232" s="17" t="s">
        <v>51</v>
      </c>
      <c r="G232" s="19" t="s">
        <v>698</v>
      </c>
      <c r="H232" s="18">
        <v>13.34</v>
      </c>
      <c r="I232" s="17" t="s">
        <v>144</v>
      </c>
      <c r="J232" s="17" t="s">
        <v>143</v>
      </c>
      <c r="K232" s="17" t="s">
        <v>389</v>
      </c>
      <c r="L232" s="17" t="s">
        <v>1167</v>
      </c>
      <c r="M232" s="16" t="str">
        <f>HYPERLINK("http://slimages.macys.com/is/image/MCY/2659502 ")</f>
        <v xml:space="preserve">http://slimages.macys.com/is/image/MCY/2659502 </v>
      </c>
      <c r="N232" s="30"/>
    </row>
    <row r="233" spans="1:14" ht="60" x14ac:dyDescent="0.25">
      <c r="A233" s="19" t="s">
        <v>1938</v>
      </c>
      <c r="B233" s="17" t="s">
        <v>1937</v>
      </c>
      <c r="C233" s="20">
        <v>1</v>
      </c>
      <c r="D233" s="18">
        <v>74</v>
      </c>
      <c r="E233" s="20" t="s">
        <v>1936</v>
      </c>
      <c r="F233" s="17" t="s">
        <v>1356</v>
      </c>
      <c r="G233" s="19" t="s">
        <v>197</v>
      </c>
      <c r="H233" s="18">
        <v>13.333333333333334</v>
      </c>
      <c r="I233" s="17" t="s">
        <v>148</v>
      </c>
      <c r="J233" s="17" t="s">
        <v>409</v>
      </c>
      <c r="K233" s="17"/>
      <c r="L233" s="17"/>
      <c r="M233" s="16" t="str">
        <f>HYPERLINK("http://slimages.macys.com/is/image/MCY/18860435 ")</f>
        <v xml:space="preserve">http://slimages.macys.com/is/image/MCY/18860435 </v>
      </c>
      <c r="N233" s="30"/>
    </row>
    <row r="234" spans="1:14" ht="60" x14ac:dyDescent="0.25">
      <c r="A234" s="19" t="s">
        <v>7413</v>
      </c>
      <c r="B234" s="17" t="s">
        <v>7412</v>
      </c>
      <c r="C234" s="20">
        <v>1</v>
      </c>
      <c r="D234" s="18">
        <v>74</v>
      </c>
      <c r="E234" s="20" t="s">
        <v>1936</v>
      </c>
      <c r="F234" s="17" t="s">
        <v>1356</v>
      </c>
      <c r="G234" s="19" t="s">
        <v>62</v>
      </c>
      <c r="H234" s="18">
        <v>13.333333333333334</v>
      </c>
      <c r="I234" s="17" t="s">
        <v>148</v>
      </c>
      <c r="J234" s="17" t="s">
        <v>409</v>
      </c>
      <c r="K234" s="17"/>
      <c r="L234" s="17"/>
      <c r="M234" s="16" t="str">
        <f>HYPERLINK("http://slimages.macys.com/is/image/MCY/18860435 ")</f>
        <v xml:space="preserve">http://slimages.macys.com/is/image/MCY/18860435 </v>
      </c>
      <c r="N234" s="30"/>
    </row>
    <row r="235" spans="1:14" ht="60" x14ac:dyDescent="0.25">
      <c r="A235" s="19" t="s">
        <v>7411</v>
      </c>
      <c r="B235" s="17" t="s">
        <v>7410</v>
      </c>
      <c r="C235" s="20">
        <v>1</v>
      </c>
      <c r="D235" s="18">
        <v>79</v>
      </c>
      <c r="E235" s="20">
        <v>7021004</v>
      </c>
      <c r="F235" s="17" t="s">
        <v>508</v>
      </c>
      <c r="G235" s="19" t="s">
        <v>50</v>
      </c>
      <c r="H235" s="18">
        <v>13.166666666666668</v>
      </c>
      <c r="I235" s="17" t="s">
        <v>111</v>
      </c>
      <c r="J235" s="17" t="s">
        <v>110</v>
      </c>
      <c r="K235" s="17" t="s">
        <v>389</v>
      </c>
      <c r="L235" s="17" t="s">
        <v>388</v>
      </c>
      <c r="M235" s="16" t="str">
        <f>HYPERLINK("http://images.bloomingdales.com/is/image/BLM/11299549 ")</f>
        <v xml:space="preserve">http://images.bloomingdales.com/is/image/BLM/11299549 </v>
      </c>
      <c r="N235" s="30"/>
    </row>
    <row r="236" spans="1:14" ht="60" x14ac:dyDescent="0.25">
      <c r="A236" s="19" t="s">
        <v>3655</v>
      </c>
      <c r="B236" s="17" t="s">
        <v>3654</v>
      </c>
      <c r="C236" s="20">
        <v>1</v>
      </c>
      <c r="D236" s="18">
        <v>79</v>
      </c>
      <c r="E236" s="20" t="s">
        <v>3646</v>
      </c>
      <c r="F236" s="17" t="s">
        <v>544</v>
      </c>
      <c r="G236" s="19" t="s">
        <v>101</v>
      </c>
      <c r="H236" s="18">
        <v>13.166666666666668</v>
      </c>
      <c r="I236" s="17" t="s">
        <v>129</v>
      </c>
      <c r="J236" s="17" t="s">
        <v>128</v>
      </c>
      <c r="K236" s="17"/>
      <c r="L236" s="17"/>
      <c r="M236" s="16" t="str">
        <f>HYPERLINK("http://slimages.macys.com/is/image/MCY/18610067 ")</f>
        <v xml:space="preserve">http://slimages.macys.com/is/image/MCY/18610067 </v>
      </c>
      <c r="N236" s="30"/>
    </row>
    <row r="237" spans="1:14" ht="60" x14ac:dyDescent="0.25">
      <c r="A237" s="19" t="s">
        <v>7409</v>
      </c>
      <c r="B237" s="17" t="s">
        <v>7408</v>
      </c>
      <c r="C237" s="20">
        <v>1</v>
      </c>
      <c r="D237" s="18">
        <v>79</v>
      </c>
      <c r="E237" s="20" t="s">
        <v>3638</v>
      </c>
      <c r="F237" s="17" t="s">
        <v>578</v>
      </c>
      <c r="G237" s="19" t="s">
        <v>17</v>
      </c>
      <c r="H237" s="18">
        <v>13.166666666666668</v>
      </c>
      <c r="I237" s="17" t="s">
        <v>129</v>
      </c>
      <c r="J237" s="17" t="s">
        <v>128</v>
      </c>
      <c r="K237" s="17"/>
      <c r="L237" s="17"/>
      <c r="M237" s="16" t="str">
        <f>HYPERLINK("http://slimages.macys.com/is/image/MCY/19144457 ")</f>
        <v xml:space="preserve">http://slimages.macys.com/is/image/MCY/19144457 </v>
      </c>
      <c r="N237" s="30"/>
    </row>
    <row r="238" spans="1:14" ht="60" x14ac:dyDescent="0.25">
      <c r="A238" s="19" t="s">
        <v>6575</v>
      </c>
      <c r="B238" s="17" t="s">
        <v>6574</v>
      </c>
      <c r="C238" s="20">
        <v>1</v>
      </c>
      <c r="D238" s="18">
        <v>79</v>
      </c>
      <c r="E238" s="20">
        <v>8160314</v>
      </c>
      <c r="F238" s="17" t="s">
        <v>91</v>
      </c>
      <c r="G238" s="19" t="s">
        <v>43</v>
      </c>
      <c r="H238" s="18">
        <v>13.166666666666668</v>
      </c>
      <c r="I238" s="17" t="s">
        <v>129</v>
      </c>
      <c r="J238" s="17" t="s">
        <v>128</v>
      </c>
      <c r="K238" s="17"/>
      <c r="L238" s="17"/>
      <c r="M238" s="16" t="str">
        <f>HYPERLINK("http://slimages.macys.com/is/image/MCY/18210400 ")</f>
        <v xml:space="preserve">http://slimages.macys.com/is/image/MCY/18210400 </v>
      </c>
      <c r="N238" s="30"/>
    </row>
    <row r="239" spans="1:14" ht="60" x14ac:dyDescent="0.25">
      <c r="A239" s="19" t="s">
        <v>7407</v>
      </c>
      <c r="B239" s="17" t="s">
        <v>7406</v>
      </c>
      <c r="C239" s="20">
        <v>1</v>
      </c>
      <c r="D239" s="18">
        <v>79</v>
      </c>
      <c r="E239" s="20" t="s">
        <v>3646</v>
      </c>
      <c r="F239" s="17" t="s">
        <v>91</v>
      </c>
      <c r="G239" s="19" t="s">
        <v>17</v>
      </c>
      <c r="H239" s="18">
        <v>13.166666666666668</v>
      </c>
      <c r="I239" s="17" t="s">
        <v>129</v>
      </c>
      <c r="J239" s="17" t="s">
        <v>128</v>
      </c>
      <c r="K239" s="17"/>
      <c r="L239" s="17"/>
      <c r="M239" s="16" t="str">
        <f>HYPERLINK("http://slimages.macys.com/is/image/MCY/18610067 ")</f>
        <v xml:space="preserve">http://slimages.macys.com/is/image/MCY/18610067 </v>
      </c>
      <c r="N239" s="30"/>
    </row>
    <row r="240" spans="1:14" ht="60" x14ac:dyDescent="0.25">
      <c r="A240" s="19" t="s">
        <v>5776</v>
      </c>
      <c r="B240" s="17" t="s">
        <v>5775</v>
      </c>
      <c r="C240" s="20">
        <v>1</v>
      </c>
      <c r="D240" s="18">
        <v>79</v>
      </c>
      <c r="E240" s="20" t="s">
        <v>1923</v>
      </c>
      <c r="F240" s="17" t="s">
        <v>508</v>
      </c>
      <c r="G240" s="19" t="s">
        <v>43</v>
      </c>
      <c r="H240" s="18">
        <v>13.166666666666668</v>
      </c>
      <c r="I240" s="17" t="s">
        <v>129</v>
      </c>
      <c r="J240" s="17" t="s">
        <v>128</v>
      </c>
      <c r="K240" s="17"/>
      <c r="L240" s="17"/>
      <c r="M240" s="16" t="str">
        <f>HYPERLINK("http://slimages.macys.com/is/image/MCY/19114679 ")</f>
        <v xml:space="preserve">http://slimages.macys.com/is/image/MCY/19114679 </v>
      </c>
      <c r="N240" s="30"/>
    </row>
    <row r="241" spans="1:14" ht="60" x14ac:dyDescent="0.25">
      <c r="A241" s="19" t="s">
        <v>7405</v>
      </c>
      <c r="B241" s="17" t="s">
        <v>7404</v>
      </c>
      <c r="C241" s="20">
        <v>1</v>
      </c>
      <c r="D241" s="18">
        <v>59.5</v>
      </c>
      <c r="E241" s="20" t="s">
        <v>7403</v>
      </c>
      <c r="F241" s="17" t="s">
        <v>91</v>
      </c>
      <c r="G241" s="19" t="s">
        <v>197</v>
      </c>
      <c r="H241" s="18">
        <v>13.093333333333334</v>
      </c>
      <c r="I241" s="17" t="s">
        <v>654</v>
      </c>
      <c r="J241" s="17" t="s">
        <v>653</v>
      </c>
      <c r="K241" s="17"/>
      <c r="L241" s="17"/>
      <c r="M241" s="16" t="str">
        <f>HYPERLINK("http://slimages.macys.com/is/image/MCY/19293802 ")</f>
        <v xml:space="preserve">http://slimages.macys.com/is/image/MCY/19293802 </v>
      </c>
      <c r="N241" s="30"/>
    </row>
    <row r="242" spans="1:14" ht="60" x14ac:dyDescent="0.25">
      <c r="A242" s="19" t="s">
        <v>7402</v>
      </c>
      <c r="B242" s="17" t="s">
        <v>7401</v>
      </c>
      <c r="C242" s="20">
        <v>1</v>
      </c>
      <c r="D242" s="18">
        <v>69.5</v>
      </c>
      <c r="E242" s="20" t="s">
        <v>7400</v>
      </c>
      <c r="F242" s="17" t="s">
        <v>282</v>
      </c>
      <c r="G242" s="19" t="s">
        <v>116</v>
      </c>
      <c r="H242" s="18">
        <v>13.086666666666668</v>
      </c>
      <c r="I242" s="17" t="s">
        <v>68</v>
      </c>
      <c r="J242" s="17" t="s">
        <v>67</v>
      </c>
      <c r="K242" s="17" t="s">
        <v>389</v>
      </c>
      <c r="L242" s="17" t="s">
        <v>472</v>
      </c>
      <c r="M242" s="16" t="str">
        <f>HYPERLINK("http://slimages.macys.com/is/image/MCY/8068048 ")</f>
        <v xml:space="preserve">http://slimages.macys.com/is/image/MCY/8068048 </v>
      </c>
      <c r="N242" s="30"/>
    </row>
    <row r="243" spans="1:14" ht="60" x14ac:dyDescent="0.25">
      <c r="A243" s="19" t="s">
        <v>7399</v>
      </c>
      <c r="B243" s="17" t="s">
        <v>7398</v>
      </c>
      <c r="C243" s="20">
        <v>1</v>
      </c>
      <c r="D243" s="18">
        <v>69.5</v>
      </c>
      <c r="E243" s="20" t="s">
        <v>4418</v>
      </c>
      <c r="F243" s="17" t="s">
        <v>58</v>
      </c>
      <c r="G243" s="19" t="s">
        <v>197</v>
      </c>
      <c r="H243" s="18">
        <v>13.086666666666668</v>
      </c>
      <c r="I243" s="17" t="s">
        <v>56</v>
      </c>
      <c r="J243" s="17" t="s">
        <v>55</v>
      </c>
      <c r="K243" s="17"/>
      <c r="L243" s="17"/>
      <c r="M243" s="16" t="str">
        <f>HYPERLINK("http://slimages.macys.com/is/image/MCY/18917708 ")</f>
        <v xml:space="preserve">http://slimages.macys.com/is/image/MCY/18917708 </v>
      </c>
      <c r="N243" s="30"/>
    </row>
    <row r="244" spans="1:14" ht="60" x14ac:dyDescent="0.25">
      <c r="A244" s="19" t="s">
        <v>7397</v>
      </c>
      <c r="B244" s="17" t="s">
        <v>7396</v>
      </c>
      <c r="C244" s="20">
        <v>1</v>
      </c>
      <c r="D244" s="18">
        <v>69.5</v>
      </c>
      <c r="E244" s="20" t="s">
        <v>7395</v>
      </c>
      <c r="F244" s="17" t="s">
        <v>58</v>
      </c>
      <c r="G244" s="19" t="s">
        <v>197</v>
      </c>
      <c r="H244" s="18">
        <v>13.086666666666668</v>
      </c>
      <c r="I244" s="17" t="s">
        <v>56</v>
      </c>
      <c r="J244" s="17" t="s">
        <v>55</v>
      </c>
      <c r="K244" s="17"/>
      <c r="L244" s="17"/>
      <c r="M244" s="16" t="str">
        <f>HYPERLINK("http://slimages.macys.com/is/image/MCY/18614277 ")</f>
        <v xml:space="preserve">http://slimages.macys.com/is/image/MCY/18614277 </v>
      </c>
      <c r="N244" s="30"/>
    </row>
    <row r="245" spans="1:14" ht="60" x14ac:dyDescent="0.25">
      <c r="A245" s="19" t="s">
        <v>7394</v>
      </c>
      <c r="B245" s="17" t="s">
        <v>7393</v>
      </c>
      <c r="C245" s="20">
        <v>1</v>
      </c>
      <c r="D245" s="18">
        <v>69.5</v>
      </c>
      <c r="E245" s="20" t="s">
        <v>7392</v>
      </c>
      <c r="F245" s="17" t="s">
        <v>58</v>
      </c>
      <c r="G245" s="19" t="s">
        <v>658</v>
      </c>
      <c r="H245" s="18">
        <v>13.086666666666668</v>
      </c>
      <c r="I245" s="17" t="s">
        <v>68</v>
      </c>
      <c r="J245" s="17" t="s">
        <v>67</v>
      </c>
      <c r="K245" s="17" t="s">
        <v>389</v>
      </c>
      <c r="L245" s="17" t="s">
        <v>1044</v>
      </c>
      <c r="M245" s="16" t="str">
        <f>HYPERLINK("http://slimages.macys.com/is/image/MCY/13339706 ")</f>
        <v xml:space="preserve">http://slimages.macys.com/is/image/MCY/13339706 </v>
      </c>
      <c r="N245" s="30"/>
    </row>
    <row r="246" spans="1:14" ht="60" x14ac:dyDescent="0.25">
      <c r="A246" s="19" t="s">
        <v>7391</v>
      </c>
      <c r="B246" s="17" t="s">
        <v>7390</v>
      </c>
      <c r="C246" s="20">
        <v>1</v>
      </c>
      <c r="D246" s="18">
        <v>69.5</v>
      </c>
      <c r="E246" s="20" t="s">
        <v>7389</v>
      </c>
      <c r="F246" s="17" t="s">
        <v>198</v>
      </c>
      <c r="G246" s="19" t="s">
        <v>197</v>
      </c>
      <c r="H246" s="18">
        <v>13.086666666666668</v>
      </c>
      <c r="I246" s="17" t="s">
        <v>68</v>
      </c>
      <c r="J246" s="17" t="s">
        <v>67</v>
      </c>
      <c r="K246" s="17"/>
      <c r="L246" s="17"/>
      <c r="M246" s="16" t="str">
        <f>HYPERLINK("http://slimages.macys.com/is/image/MCY/19179845 ")</f>
        <v xml:space="preserve">http://slimages.macys.com/is/image/MCY/19179845 </v>
      </c>
      <c r="N246" s="30"/>
    </row>
    <row r="247" spans="1:14" ht="60" x14ac:dyDescent="0.25">
      <c r="A247" s="19" t="s">
        <v>6571</v>
      </c>
      <c r="B247" s="17" t="s">
        <v>6570</v>
      </c>
      <c r="C247" s="20">
        <v>1</v>
      </c>
      <c r="D247" s="18">
        <v>69.5</v>
      </c>
      <c r="E247" s="20" t="s">
        <v>3623</v>
      </c>
      <c r="F247" s="17" t="s">
        <v>28</v>
      </c>
      <c r="G247" s="19" t="s">
        <v>139</v>
      </c>
      <c r="H247" s="18">
        <v>13.086666666666668</v>
      </c>
      <c r="I247" s="17" t="s">
        <v>1891</v>
      </c>
      <c r="J247" s="17" t="s">
        <v>2435</v>
      </c>
      <c r="K247" s="17"/>
      <c r="L247" s="17"/>
      <c r="M247" s="16" t="str">
        <f>HYPERLINK("http://slimages.macys.com/is/image/MCY/19191238 ")</f>
        <v xml:space="preserve">http://slimages.macys.com/is/image/MCY/19191238 </v>
      </c>
      <c r="N247" s="30"/>
    </row>
    <row r="248" spans="1:14" ht="60" x14ac:dyDescent="0.25">
      <c r="A248" s="19" t="s">
        <v>7388</v>
      </c>
      <c r="B248" s="17" t="s">
        <v>7387</v>
      </c>
      <c r="C248" s="20">
        <v>1</v>
      </c>
      <c r="D248" s="18">
        <v>69.5</v>
      </c>
      <c r="E248" s="20" t="s">
        <v>3620</v>
      </c>
      <c r="F248" s="17" t="s">
        <v>58</v>
      </c>
      <c r="G248" s="19"/>
      <c r="H248" s="18">
        <v>13.086666666666668</v>
      </c>
      <c r="I248" s="17" t="s">
        <v>1891</v>
      </c>
      <c r="J248" s="17" t="s">
        <v>2435</v>
      </c>
      <c r="K248" s="17"/>
      <c r="L248" s="17"/>
      <c r="M248" s="16" t="str">
        <f>HYPERLINK("http://slimages.macys.com/is/image/MCY/19190044 ")</f>
        <v xml:space="preserve">http://slimages.macys.com/is/image/MCY/19190044 </v>
      </c>
      <c r="N248" s="30"/>
    </row>
    <row r="249" spans="1:14" ht="60" x14ac:dyDescent="0.25">
      <c r="A249" s="19" t="s">
        <v>7386</v>
      </c>
      <c r="B249" s="17" t="s">
        <v>7385</v>
      </c>
      <c r="C249" s="20">
        <v>1</v>
      </c>
      <c r="D249" s="18">
        <v>69.5</v>
      </c>
      <c r="E249" s="20" t="s">
        <v>3620</v>
      </c>
      <c r="F249" s="17" t="s">
        <v>51</v>
      </c>
      <c r="G249" s="19" t="s">
        <v>139</v>
      </c>
      <c r="H249" s="18">
        <v>13.086666666666668</v>
      </c>
      <c r="I249" s="17" t="s">
        <v>1891</v>
      </c>
      <c r="J249" s="17" t="s">
        <v>2435</v>
      </c>
      <c r="K249" s="17"/>
      <c r="L249" s="17"/>
      <c r="M249" s="16" t="str">
        <f>HYPERLINK("http://slimages.macys.com/is/image/MCY/19190044 ")</f>
        <v xml:space="preserve">http://slimages.macys.com/is/image/MCY/19190044 </v>
      </c>
      <c r="N249" s="30"/>
    </row>
    <row r="250" spans="1:14" ht="60" x14ac:dyDescent="0.25">
      <c r="A250" s="19" t="s">
        <v>6540</v>
      </c>
      <c r="B250" s="17" t="s">
        <v>6539</v>
      </c>
      <c r="C250" s="20">
        <v>1</v>
      </c>
      <c r="D250" s="18">
        <v>69.5</v>
      </c>
      <c r="E250" s="20" t="s">
        <v>5066</v>
      </c>
      <c r="F250" s="17" t="s">
        <v>58</v>
      </c>
      <c r="G250" s="19" t="s">
        <v>351</v>
      </c>
      <c r="H250" s="18">
        <v>13.086666666666668</v>
      </c>
      <c r="I250" s="17" t="s">
        <v>1891</v>
      </c>
      <c r="J250" s="17" t="s">
        <v>2435</v>
      </c>
      <c r="K250" s="17"/>
      <c r="L250" s="17"/>
      <c r="M250" s="16" t="str">
        <f>HYPERLINK("http://slimages.macys.com/is/image/MCY/19186640 ")</f>
        <v xml:space="preserve">http://slimages.macys.com/is/image/MCY/19186640 </v>
      </c>
      <c r="N250" s="30"/>
    </row>
    <row r="251" spans="1:14" ht="60" x14ac:dyDescent="0.25">
      <c r="A251" s="19" t="s">
        <v>7384</v>
      </c>
      <c r="B251" s="17" t="s">
        <v>7383</v>
      </c>
      <c r="C251" s="20">
        <v>1</v>
      </c>
      <c r="D251" s="18">
        <v>69.5</v>
      </c>
      <c r="E251" s="20" t="s">
        <v>3620</v>
      </c>
      <c r="F251" s="17" t="s">
        <v>58</v>
      </c>
      <c r="G251" s="19" t="s">
        <v>271</v>
      </c>
      <c r="H251" s="18">
        <v>13.086666666666668</v>
      </c>
      <c r="I251" s="17" t="s">
        <v>1891</v>
      </c>
      <c r="J251" s="17" t="s">
        <v>2435</v>
      </c>
      <c r="K251" s="17"/>
      <c r="L251" s="17"/>
      <c r="M251" s="16" t="str">
        <f>HYPERLINK("http://slimages.macys.com/is/image/MCY/19190044 ")</f>
        <v xml:space="preserve">http://slimages.macys.com/is/image/MCY/19190044 </v>
      </c>
      <c r="N251" s="30"/>
    </row>
    <row r="252" spans="1:14" ht="60" x14ac:dyDescent="0.25">
      <c r="A252" s="19" t="s">
        <v>7382</v>
      </c>
      <c r="B252" s="17" t="s">
        <v>7381</v>
      </c>
      <c r="C252" s="20">
        <v>2</v>
      </c>
      <c r="D252" s="18">
        <v>69.5</v>
      </c>
      <c r="E252" s="20" t="s">
        <v>3626</v>
      </c>
      <c r="F252" s="17" t="s">
        <v>63</v>
      </c>
      <c r="G252" s="19" t="s">
        <v>271</v>
      </c>
      <c r="H252" s="18">
        <v>13.086666666666668</v>
      </c>
      <c r="I252" s="17" t="s">
        <v>1891</v>
      </c>
      <c r="J252" s="17" t="s">
        <v>2435</v>
      </c>
      <c r="K252" s="17"/>
      <c r="L252" s="17"/>
      <c r="M252" s="16" t="str">
        <f>HYPERLINK("http://slimages.macys.com/is/image/MCY/19046856 ")</f>
        <v xml:space="preserve">http://slimages.macys.com/is/image/MCY/19046856 </v>
      </c>
      <c r="N252" s="30"/>
    </row>
    <row r="253" spans="1:14" ht="60" x14ac:dyDescent="0.25">
      <c r="A253" s="19" t="s">
        <v>3622</v>
      </c>
      <c r="B253" s="17" t="s">
        <v>3621</v>
      </c>
      <c r="C253" s="20">
        <v>1</v>
      </c>
      <c r="D253" s="18">
        <v>69.5</v>
      </c>
      <c r="E253" s="20" t="s">
        <v>3620</v>
      </c>
      <c r="F253" s="17" t="s">
        <v>58</v>
      </c>
      <c r="G253" s="19" t="s">
        <v>351</v>
      </c>
      <c r="H253" s="18">
        <v>13.086666666666668</v>
      </c>
      <c r="I253" s="17" t="s">
        <v>1891</v>
      </c>
      <c r="J253" s="17" t="s">
        <v>2435</v>
      </c>
      <c r="K253" s="17"/>
      <c r="L253" s="17"/>
      <c r="M253" s="16" t="str">
        <f>HYPERLINK("http://slimages.macys.com/is/image/MCY/19190044 ")</f>
        <v xml:space="preserve">http://slimages.macys.com/is/image/MCY/19190044 </v>
      </c>
      <c r="N253" s="30"/>
    </row>
    <row r="254" spans="1:14" ht="60" x14ac:dyDescent="0.25">
      <c r="A254" s="19" t="s">
        <v>7380</v>
      </c>
      <c r="B254" s="17" t="s">
        <v>7379</v>
      </c>
      <c r="C254" s="20">
        <v>1</v>
      </c>
      <c r="D254" s="18">
        <v>59</v>
      </c>
      <c r="E254" s="20" t="s">
        <v>3590</v>
      </c>
      <c r="F254" s="17" t="s">
        <v>149</v>
      </c>
      <c r="G254" s="19" t="s">
        <v>22</v>
      </c>
      <c r="H254" s="18">
        <v>13.020000000000001</v>
      </c>
      <c r="I254" s="17" t="s">
        <v>49</v>
      </c>
      <c r="J254" s="17" t="s">
        <v>48</v>
      </c>
      <c r="K254" s="17"/>
      <c r="L254" s="17"/>
      <c r="M254" s="16" t="str">
        <f>HYPERLINK("http://slimages.macys.com/is/image/MCY/18749949 ")</f>
        <v xml:space="preserve">http://slimages.macys.com/is/image/MCY/18749949 </v>
      </c>
      <c r="N254" s="30"/>
    </row>
    <row r="255" spans="1:14" ht="60" x14ac:dyDescent="0.25">
      <c r="A255" s="19" t="s">
        <v>7378</v>
      </c>
      <c r="B255" s="17" t="s">
        <v>7377</v>
      </c>
      <c r="C255" s="20">
        <v>2</v>
      </c>
      <c r="D255" s="18">
        <v>59</v>
      </c>
      <c r="E255" s="20" t="s">
        <v>3590</v>
      </c>
      <c r="F255" s="17" t="s">
        <v>345</v>
      </c>
      <c r="G255" s="19" t="s">
        <v>17</v>
      </c>
      <c r="H255" s="18">
        <v>13.020000000000001</v>
      </c>
      <c r="I255" s="17" t="s">
        <v>49</v>
      </c>
      <c r="J255" s="17" t="s">
        <v>48</v>
      </c>
      <c r="K255" s="17"/>
      <c r="L255" s="17"/>
      <c r="M255" s="16" t="str">
        <f>HYPERLINK("http://slimages.macys.com/is/image/MCY/18749949 ")</f>
        <v xml:space="preserve">http://slimages.macys.com/is/image/MCY/18749949 </v>
      </c>
      <c r="N255" s="30"/>
    </row>
    <row r="256" spans="1:14" ht="60" x14ac:dyDescent="0.25">
      <c r="A256" s="19" t="s">
        <v>7376</v>
      </c>
      <c r="B256" s="17" t="s">
        <v>7375</v>
      </c>
      <c r="C256" s="20">
        <v>1</v>
      </c>
      <c r="D256" s="18">
        <v>59</v>
      </c>
      <c r="E256" s="20" t="s">
        <v>7374</v>
      </c>
      <c r="F256" s="17" t="s">
        <v>726</v>
      </c>
      <c r="G256" s="19" t="s">
        <v>101</v>
      </c>
      <c r="H256" s="18">
        <v>13.020000000000001</v>
      </c>
      <c r="I256" s="17" t="s">
        <v>49</v>
      </c>
      <c r="J256" s="17" t="s">
        <v>48</v>
      </c>
      <c r="K256" s="17"/>
      <c r="L256" s="17"/>
      <c r="M256" s="16" t="str">
        <f>HYPERLINK("http://slimages.macys.com/is/image/MCY/18203643 ")</f>
        <v xml:space="preserve">http://slimages.macys.com/is/image/MCY/18203643 </v>
      </c>
      <c r="N256" s="30"/>
    </row>
    <row r="257" spans="1:14" ht="60" x14ac:dyDescent="0.25">
      <c r="A257" s="19" t="s">
        <v>6535</v>
      </c>
      <c r="B257" s="17" t="s">
        <v>6534</v>
      </c>
      <c r="C257" s="20">
        <v>14</v>
      </c>
      <c r="D257" s="18">
        <v>59</v>
      </c>
      <c r="E257" s="20" t="s">
        <v>5758</v>
      </c>
      <c r="F257" s="17" t="s">
        <v>140</v>
      </c>
      <c r="G257" s="19" t="s">
        <v>101</v>
      </c>
      <c r="H257" s="18">
        <v>13.020000000000001</v>
      </c>
      <c r="I257" s="17" t="s">
        <v>49</v>
      </c>
      <c r="J257" s="17" t="s">
        <v>48</v>
      </c>
      <c r="K257" s="17"/>
      <c r="L257" s="17"/>
      <c r="M257" s="16" t="str">
        <f>HYPERLINK("http://slimages.macys.com/is/image/MCY/18180029 ")</f>
        <v xml:space="preserve">http://slimages.macys.com/is/image/MCY/18180029 </v>
      </c>
      <c r="N257" s="30"/>
    </row>
    <row r="258" spans="1:14" ht="60" x14ac:dyDescent="0.25">
      <c r="A258" s="19" t="s">
        <v>7373</v>
      </c>
      <c r="B258" s="17" t="s">
        <v>7372</v>
      </c>
      <c r="C258" s="20">
        <v>1</v>
      </c>
      <c r="D258" s="18">
        <v>59</v>
      </c>
      <c r="E258" s="20" t="s">
        <v>1147</v>
      </c>
      <c r="F258" s="17" t="s">
        <v>149</v>
      </c>
      <c r="G258" s="19" t="s">
        <v>22</v>
      </c>
      <c r="H258" s="18">
        <v>13.020000000000001</v>
      </c>
      <c r="I258" s="17" t="s">
        <v>49</v>
      </c>
      <c r="J258" s="17" t="s">
        <v>48</v>
      </c>
      <c r="K258" s="17"/>
      <c r="L258" s="17"/>
      <c r="M258" s="16" t="str">
        <f>HYPERLINK("http://slimages.macys.com/is/image/MCY/18750027 ")</f>
        <v xml:space="preserve">http://slimages.macys.com/is/image/MCY/18750027 </v>
      </c>
      <c r="N258" s="30"/>
    </row>
    <row r="259" spans="1:14" ht="60" x14ac:dyDescent="0.25">
      <c r="A259" s="19" t="s">
        <v>5760</v>
      </c>
      <c r="B259" s="17" t="s">
        <v>5759</v>
      </c>
      <c r="C259" s="20">
        <v>1</v>
      </c>
      <c r="D259" s="18">
        <v>59</v>
      </c>
      <c r="E259" s="20" t="s">
        <v>5758</v>
      </c>
      <c r="F259" s="17" t="s">
        <v>140</v>
      </c>
      <c r="G259" s="19" t="s">
        <v>62</v>
      </c>
      <c r="H259" s="18">
        <v>13.020000000000001</v>
      </c>
      <c r="I259" s="17" t="s">
        <v>49</v>
      </c>
      <c r="J259" s="17" t="s">
        <v>48</v>
      </c>
      <c r="K259" s="17"/>
      <c r="L259" s="17"/>
      <c r="M259" s="16" t="str">
        <f>HYPERLINK("http://slimages.macys.com/is/image/MCY/19191690 ")</f>
        <v xml:space="preserve">http://slimages.macys.com/is/image/MCY/19191690 </v>
      </c>
      <c r="N259" s="30"/>
    </row>
    <row r="260" spans="1:14" ht="60" x14ac:dyDescent="0.25">
      <c r="A260" s="19" t="s">
        <v>7371</v>
      </c>
      <c r="B260" s="17" t="s">
        <v>7370</v>
      </c>
      <c r="C260" s="20">
        <v>1</v>
      </c>
      <c r="D260" s="18">
        <v>69</v>
      </c>
      <c r="E260" s="20" t="s">
        <v>7369</v>
      </c>
      <c r="F260" s="17" t="s">
        <v>1526</v>
      </c>
      <c r="G260" s="19"/>
      <c r="H260" s="18">
        <v>12.88</v>
      </c>
      <c r="I260" s="17" t="s">
        <v>33</v>
      </c>
      <c r="J260" s="17" t="s">
        <v>404</v>
      </c>
      <c r="K260" s="17"/>
      <c r="L260" s="17"/>
      <c r="M260" s="16" t="str">
        <f>HYPERLINK("http://slimages.macys.com/is/image/MCY/18454490 ")</f>
        <v xml:space="preserve">http://slimages.macys.com/is/image/MCY/18454490 </v>
      </c>
      <c r="N260" s="30"/>
    </row>
    <row r="261" spans="1:14" ht="60" x14ac:dyDescent="0.25">
      <c r="A261" s="19" t="s">
        <v>7368</v>
      </c>
      <c r="B261" s="17" t="s">
        <v>7367</v>
      </c>
      <c r="C261" s="20">
        <v>1</v>
      </c>
      <c r="D261" s="18">
        <v>69</v>
      </c>
      <c r="E261" s="20" t="s">
        <v>7366</v>
      </c>
      <c r="F261" s="17" t="s">
        <v>558</v>
      </c>
      <c r="G261" s="19" t="s">
        <v>74</v>
      </c>
      <c r="H261" s="18">
        <v>12.74</v>
      </c>
      <c r="I261" s="17" t="s">
        <v>405</v>
      </c>
      <c r="J261" s="17" t="s">
        <v>404</v>
      </c>
      <c r="K261" s="17"/>
      <c r="L261" s="17"/>
      <c r="M261" s="16" t="str">
        <f>HYPERLINK("http://slimages.macys.com/is/image/MCY/18649665 ")</f>
        <v xml:space="preserve">http://slimages.macys.com/is/image/MCY/18649665 </v>
      </c>
      <c r="N261" s="30"/>
    </row>
    <row r="262" spans="1:14" ht="60" x14ac:dyDescent="0.25">
      <c r="A262" s="19" t="s">
        <v>7365</v>
      </c>
      <c r="B262" s="17" t="s">
        <v>7364</v>
      </c>
      <c r="C262" s="20">
        <v>1</v>
      </c>
      <c r="D262" s="18">
        <v>69.5</v>
      </c>
      <c r="E262" s="20" t="s">
        <v>425</v>
      </c>
      <c r="F262" s="17" t="s">
        <v>558</v>
      </c>
      <c r="G262" s="19" t="s">
        <v>139</v>
      </c>
      <c r="H262" s="18">
        <v>12.74</v>
      </c>
      <c r="I262" s="17" t="s">
        <v>267</v>
      </c>
      <c r="J262" s="17" t="s">
        <v>32</v>
      </c>
      <c r="K262" s="17"/>
      <c r="L262" s="17"/>
      <c r="M262" s="16" t="str">
        <f>HYPERLINK("http://slimages.macys.com/is/image/MCY/19044242 ")</f>
        <v xml:space="preserve">http://slimages.macys.com/is/image/MCY/19044242 </v>
      </c>
      <c r="N262" s="30"/>
    </row>
    <row r="263" spans="1:14" ht="60" x14ac:dyDescent="0.25">
      <c r="A263" s="19" t="s">
        <v>3582</v>
      </c>
      <c r="B263" s="17" t="s">
        <v>3581</v>
      </c>
      <c r="C263" s="20">
        <v>1</v>
      </c>
      <c r="D263" s="18">
        <v>69</v>
      </c>
      <c r="E263" s="20" t="s">
        <v>3580</v>
      </c>
      <c r="F263" s="17" t="s">
        <v>23</v>
      </c>
      <c r="G263" s="19" t="s">
        <v>57</v>
      </c>
      <c r="H263" s="18">
        <v>12.74</v>
      </c>
      <c r="I263" s="17" t="s">
        <v>405</v>
      </c>
      <c r="J263" s="17" t="s">
        <v>404</v>
      </c>
      <c r="K263" s="17" t="s">
        <v>389</v>
      </c>
      <c r="L263" s="17" t="s">
        <v>1129</v>
      </c>
      <c r="M263" s="16" t="str">
        <f>HYPERLINK("http://slimages.macys.com/is/image/MCY/18457264 ")</f>
        <v xml:space="preserve">http://slimages.macys.com/is/image/MCY/18457264 </v>
      </c>
      <c r="N263" s="30"/>
    </row>
    <row r="264" spans="1:14" ht="60" x14ac:dyDescent="0.25">
      <c r="A264" s="19" t="s">
        <v>7363</v>
      </c>
      <c r="B264" s="17" t="s">
        <v>7362</v>
      </c>
      <c r="C264" s="20">
        <v>1</v>
      </c>
      <c r="D264" s="18">
        <v>69</v>
      </c>
      <c r="E264" s="20" t="s">
        <v>2719</v>
      </c>
      <c r="F264" s="17" t="s">
        <v>345</v>
      </c>
      <c r="G264" s="19" t="s">
        <v>57</v>
      </c>
      <c r="H264" s="18">
        <v>12.74</v>
      </c>
      <c r="I264" s="17" t="s">
        <v>405</v>
      </c>
      <c r="J264" s="17" t="s">
        <v>404</v>
      </c>
      <c r="K264" s="17"/>
      <c r="L264" s="17"/>
      <c r="M264" s="16" t="str">
        <f>HYPERLINK("http://slimages.macys.com/is/image/MCY/17417430 ")</f>
        <v xml:space="preserve">http://slimages.macys.com/is/image/MCY/17417430 </v>
      </c>
      <c r="N264" s="30"/>
    </row>
    <row r="265" spans="1:14" ht="60" x14ac:dyDescent="0.25">
      <c r="A265" s="19" t="s">
        <v>7361</v>
      </c>
      <c r="B265" s="17" t="s">
        <v>7360</v>
      </c>
      <c r="C265" s="20">
        <v>1</v>
      </c>
      <c r="D265" s="18">
        <v>53.95</v>
      </c>
      <c r="E265" s="20" t="s">
        <v>7359</v>
      </c>
      <c r="F265" s="17" t="s">
        <v>508</v>
      </c>
      <c r="G265" s="19" t="s">
        <v>69</v>
      </c>
      <c r="H265" s="18">
        <v>12.666666666666666</v>
      </c>
      <c r="I265" s="17" t="s">
        <v>148</v>
      </c>
      <c r="J265" s="17" t="s">
        <v>1136</v>
      </c>
      <c r="K265" s="17"/>
      <c r="L265" s="17"/>
      <c r="M265" s="16" t="str">
        <f>HYPERLINK("http://slimages.macys.com/is/image/MCY/18676532 ")</f>
        <v xml:space="preserve">http://slimages.macys.com/is/image/MCY/18676532 </v>
      </c>
      <c r="N265" s="30"/>
    </row>
    <row r="266" spans="1:14" ht="60" x14ac:dyDescent="0.25">
      <c r="A266" s="19" t="s">
        <v>7358</v>
      </c>
      <c r="B266" s="17" t="s">
        <v>7357</v>
      </c>
      <c r="C266" s="20">
        <v>1</v>
      </c>
      <c r="D266" s="18">
        <v>59.5</v>
      </c>
      <c r="E266" s="20" t="s">
        <v>7356</v>
      </c>
      <c r="F266" s="17" t="s">
        <v>28</v>
      </c>
      <c r="G266" s="19" t="s">
        <v>74</v>
      </c>
      <c r="H266" s="18">
        <v>12.666666666666666</v>
      </c>
      <c r="I266" s="17" t="s">
        <v>80</v>
      </c>
      <c r="J266" s="17" t="s">
        <v>531</v>
      </c>
      <c r="K266" s="17"/>
      <c r="L266" s="17"/>
      <c r="M266" s="16" t="str">
        <f>HYPERLINK("http://slimages.macys.com/is/image/MCY/18520311 ")</f>
        <v xml:space="preserve">http://slimages.macys.com/is/image/MCY/18520311 </v>
      </c>
      <c r="N266" s="30"/>
    </row>
    <row r="267" spans="1:14" ht="60" x14ac:dyDescent="0.25">
      <c r="A267" s="19" t="s">
        <v>2718</v>
      </c>
      <c r="B267" s="17" t="s">
        <v>2717</v>
      </c>
      <c r="C267" s="20">
        <v>1</v>
      </c>
      <c r="D267" s="18">
        <v>55</v>
      </c>
      <c r="E267" s="20" t="s">
        <v>2710</v>
      </c>
      <c r="F267" s="17" t="s">
        <v>345</v>
      </c>
      <c r="G267" s="19" t="s">
        <v>17</v>
      </c>
      <c r="H267" s="18">
        <v>12.653333333333332</v>
      </c>
      <c r="I267" s="17" t="s">
        <v>16</v>
      </c>
      <c r="J267" s="17" t="s">
        <v>15</v>
      </c>
      <c r="K267" s="17"/>
      <c r="L267" s="17"/>
      <c r="M267" s="16" t="str">
        <f>HYPERLINK("http://slimages.macys.com/is/image/MCY/19323872 ")</f>
        <v xml:space="preserve">http://slimages.macys.com/is/image/MCY/19323872 </v>
      </c>
      <c r="N267" s="30"/>
    </row>
    <row r="268" spans="1:14" ht="60" x14ac:dyDescent="0.25">
      <c r="A268" s="19" t="s">
        <v>7355</v>
      </c>
      <c r="B268" s="17" t="s">
        <v>7354</v>
      </c>
      <c r="C268" s="20">
        <v>1</v>
      </c>
      <c r="D268" s="18">
        <v>69</v>
      </c>
      <c r="E268" s="20" t="s">
        <v>7353</v>
      </c>
      <c r="F268" s="17" t="s">
        <v>75</v>
      </c>
      <c r="G268" s="19" t="s">
        <v>139</v>
      </c>
      <c r="H268" s="18">
        <v>12.653333333333332</v>
      </c>
      <c r="I268" s="17" t="s">
        <v>267</v>
      </c>
      <c r="J268" s="17" t="s">
        <v>32</v>
      </c>
      <c r="K268" s="17"/>
      <c r="L268" s="17"/>
      <c r="M268" s="16" t="str">
        <f>HYPERLINK("http://slimages.macys.com/is/image/MCY/20209897 ")</f>
        <v xml:space="preserve">http://slimages.macys.com/is/image/MCY/20209897 </v>
      </c>
      <c r="N268" s="30"/>
    </row>
    <row r="269" spans="1:14" ht="60" x14ac:dyDescent="0.25">
      <c r="A269" s="19" t="s">
        <v>7352</v>
      </c>
      <c r="B269" s="17" t="s">
        <v>7351</v>
      </c>
      <c r="C269" s="20">
        <v>7</v>
      </c>
      <c r="D269" s="18">
        <v>48.3</v>
      </c>
      <c r="E269" s="20" t="s">
        <v>1895</v>
      </c>
      <c r="F269" s="17" t="s">
        <v>51</v>
      </c>
      <c r="G269" s="19" t="s">
        <v>57</v>
      </c>
      <c r="H269" s="18">
        <v>12.6</v>
      </c>
      <c r="I269" s="17" t="s">
        <v>42</v>
      </c>
      <c r="J269" s="17" t="s">
        <v>41</v>
      </c>
      <c r="K269" s="17"/>
      <c r="L269" s="17"/>
      <c r="M269" s="16" t="str">
        <f>HYPERLINK("http://slimages.macys.com/is/image/MCY/19187460 ")</f>
        <v xml:space="preserve">http://slimages.macys.com/is/image/MCY/19187460 </v>
      </c>
      <c r="N269" s="30"/>
    </row>
    <row r="270" spans="1:14" ht="60" x14ac:dyDescent="0.25">
      <c r="A270" s="19" t="s">
        <v>7350</v>
      </c>
      <c r="B270" s="17" t="s">
        <v>7349</v>
      </c>
      <c r="C270" s="20">
        <v>1</v>
      </c>
      <c r="D270" s="18">
        <v>48.3</v>
      </c>
      <c r="E270" s="20" t="s">
        <v>1895</v>
      </c>
      <c r="F270" s="17" t="s">
        <v>28</v>
      </c>
      <c r="G270" s="19" t="s">
        <v>197</v>
      </c>
      <c r="H270" s="18">
        <v>12.6</v>
      </c>
      <c r="I270" s="17" t="s">
        <v>42</v>
      </c>
      <c r="J270" s="17" t="s">
        <v>41</v>
      </c>
      <c r="K270" s="17"/>
      <c r="L270" s="17"/>
      <c r="M270" s="16" t="str">
        <f>HYPERLINK("http://slimages.macys.com/is/image/MCY/18545224 ")</f>
        <v xml:space="preserve">http://slimages.macys.com/is/image/MCY/18545224 </v>
      </c>
      <c r="N270" s="30"/>
    </row>
    <row r="271" spans="1:14" ht="60" x14ac:dyDescent="0.25">
      <c r="A271" s="19" t="s">
        <v>3577</v>
      </c>
      <c r="B271" s="17" t="s">
        <v>3576</v>
      </c>
      <c r="C271" s="20">
        <v>1</v>
      </c>
      <c r="D271" s="18">
        <v>48.3</v>
      </c>
      <c r="E271" s="20" t="s">
        <v>3575</v>
      </c>
      <c r="F271" s="17" t="s">
        <v>149</v>
      </c>
      <c r="G271" s="19" t="s">
        <v>69</v>
      </c>
      <c r="H271" s="18">
        <v>12.6</v>
      </c>
      <c r="I271" s="17" t="s">
        <v>42</v>
      </c>
      <c r="J271" s="17" t="s">
        <v>41</v>
      </c>
      <c r="K271" s="17"/>
      <c r="L271" s="17"/>
      <c r="M271" s="16" t="str">
        <f>HYPERLINK("http://slimages.macys.com/is/image/MCY/18916918 ")</f>
        <v xml:space="preserve">http://slimages.macys.com/is/image/MCY/18916918 </v>
      </c>
      <c r="N271" s="30"/>
    </row>
    <row r="272" spans="1:14" ht="60" x14ac:dyDescent="0.25">
      <c r="A272" s="19" t="s">
        <v>5736</v>
      </c>
      <c r="B272" s="17" t="s">
        <v>5735</v>
      </c>
      <c r="C272" s="20">
        <v>1</v>
      </c>
      <c r="D272" s="18">
        <v>48.3</v>
      </c>
      <c r="E272" s="20" t="s">
        <v>5734</v>
      </c>
      <c r="F272" s="17" t="s">
        <v>28</v>
      </c>
      <c r="G272" s="19" t="s">
        <v>74</v>
      </c>
      <c r="H272" s="18">
        <v>12.6</v>
      </c>
      <c r="I272" s="17" t="s">
        <v>42</v>
      </c>
      <c r="J272" s="17" t="s">
        <v>41</v>
      </c>
      <c r="K272" s="17"/>
      <c r="L272" s="17"/>
      <c r="M272" s="16" t="str">
        <f>HYPERLINK("http://slimages.macys.com/is/image/MCY/18504786 ")</f>
        <v xml:space="preserve">http://slimages.macys.com/is/image/MCY/18504786 </v>
      </c>
      <c r="N272" s="30"/>
    </row>
    <row r="273" spans="1:14" ht="60" x14ac:dyDescent="0.25">
      <c r="A273" s="19" t="s">
        <v>7348</v>
      </c>
      <c r="B273" s="17" t="s">
        <v>7347</v>
      </c>
      <c r="C273" s="20">
        <v>1</v>
      </c>
      <c r="D273" s="18">
        <v>39.99</v>
      </c>
      <c r="E273" s="20" t="s">
        <v>7346</v>
      </c>
      <c r="F273" s="17" t="s">
        <v>58</v>
      </c>
      <c r="G273" s="19"/>
      <c r="H273" s="18">
        <v>12.6</v>
      </c>
      <c r="I273" s="17" t="s">
        <v>42</v>
      </c>
      <c r="J273" s="17" t="s">
        <v>41</v>
      </c>
      <c r="K273" s="17"/>
      <c r="L273" s="17"/>
      <c r="M273" s="16" t="str">
        <f>HYPERLINK("http://slimages.macys.com/is/image/MCY/16424398 ")</f>
        <v xml:space="preserve">http://slimages.macys.com/is/image/MCY/16424398 </v>
      </c>
      <c r="N273" s="30"/>
    </row>
    <row r="274" spans="1:14" ht="60" x14ac:dyDescent="0.25">
      <c r="A274" s="19" t="s">
        <v>4391</v>
      </c>
      <c r="B274" s="17" t="s">
        <v>4390</v>
      </c>
      <c r="C274" s="20">
        <v>2</v>
      </c>
      <c r="D274" s="18">
        <v>48.3</v>
      </c>
      <c r="E274" s="20" t="s">
        <v>1895</v>
      </c>
      <c r="F274" s="17" t="s">
        <v>51</v>
      </c>
      <c r="G274" s="19" t="s">
        <v>197</v>
      </c>
      <c r="H274" s="18">
        <v>12.6</v>
      </c>
      <c r="I274" s="17" t="s">
        <v>42</v>
      </c>
      <c r="J274" s="17" t="s">
        <v>41</v>
      </c>
      <c r="K274" s="17"/>
      <c r="L274" s="17"/>
      <c r="M274" s="16" t="str">
        <f>HYPERLINK("http://slimages.macys.com/is/image/MCY/19187460 ")</f>
        <v xml:space="preserve">http://slimages.macys.com/is/image/MCY/19187460 </v>
      </c>
      <c r="N274" s="30"/>
    </row>
    <row r="275" spans="1:14" ht="60" x14ac:dyDescent="0.25">
      <c r="A275" s="19" t="s">
        <v>7345</v>
      </c>
      <c r="B275" s="17" t="s">
        <v>7344</v>
      </c>
      <c r="C275" s="20">
        <v>1</v>
      </c>
      <c r="D275" s="18">
        <v>41.3</v>
      </c>
      <c r="E275" s="20" t="s">
        <v>6525</v>
      </c>
      <c r="F275" s="17" t="s">
        <v>282</v>
      </c>
      <c r="G275" s="19" t="s">
        <v>694</v>
      </c>
      <c r="H275" s="18">
        <v>12.6</v>
      </c>
      <c r="I275" s="17" t="s">
        <v>42</v>
      </c>
      <c r="J275" s="17" t="s">
        <v>41</v>
      </c>
      <c r="K275" s="17"/>
      <c r="L275" s="17"/>
      <c r="M275" s="16" t="str">
        <f>HYPERLINK("http://slimages.macys.com/is/image/MCY/18549070 ")</f>
        <v xml:space="preserve">http://slimages.macys.com/is/image/MCY/18549070 </v>
      </c>
      <c r="N275" s="30"/>
    </row>
    <row r="276" spans="1:14" ht="60" x14ac:dyDescent="0.25">
      <c r="A276" s="19" t="s">
        <v>7343</v>
      </c>
      <c r="B276" s="17" t="s">
        <v>7342</v>
      </c>
      <c r="C276" s="20">
        <v>1</v>
      </c>
      <c r="D276" s="18">
        <v>48.3</v>
      </c>
      <c r="E276" s="20" t="s">
        <v>7341</v>
      </c>
      <c r="F276" s="17" t="s">
        <v>23</v>
      </c>
      <c r="G276" s="19" t="s">
        <v>197</v>
      </c>
      <c r="H276" s="18">
        <v>12.6</v>
      </c>
      <c r="I276" s="17" t="s">
        <v>42</v>
      </c>
      <c r="J276" s="17" t="s">
        <v>41</v>
      </c>
      <c r="K276" s="17"/>
      <c r="L276" s="17"/>
      <c r="M276" s="16" t="str">
        <f>HYPERLINK("http://slimages.macys.com/is/image/MCY/18545290 ")</f>
        <v xml:space="preserve">http://slimages.macys.com/is/image/MCY/18545290 </v>
      </c>
      <c r="N276" s="30"/>
    </row>
    <row r="277" spans="1:14" ht="60" x14ac:dyDescent="0.25">
      <c r="A277" s="19" t="s">
        <v>7340</v>
      </c>
      <c r="B277" s="17" t="s">
        <v>7339</v>
      </c>
      <c r="C277" s="20">
        <v>2</v>
      </c>
      <c r="D277" s="18">
        <v>74</v>
      </c>
      <c r="E277" s="20">
        <v>7020031</v>
      </c>
      <c r="F277" s="17" t="s">
        <v>1526</v>
      </c>
      <c r="G277" s="19" t="s">
        <v>101</v>
      </c>
      <c r="H277" s="18">
        <v>12.333333333333334</v>
      </c>
      <c r="I277" s="17" t="s">
        <v>111</v>
      </c>
      <c r="J277" s="17" t="s">
        <v>110</v>
      </c>
      <c r="K277" s="17" t="s">
        <v>637</v>
      </c>
      <c r="L277" s="17" t="s">
        <v>4469</v>
      </c>
      <c r="M277" s="16" t="str">
        <f>HYPERLINK("http://images.bloomingdales.com/is/image/BLM/11543324 ")</f>
        <v xml:space="preserve">http://images.bloomingdales.com/is/image/BLM/11543324 </v>
      </c>
      <c r="N277" s="30"/>
    </row>
    <row r="278" spans="1:14" ht="60" x14ac:dyDescent="0.25">
      <c r="A278" s="19" t="s">
        <v>7338</v>
      </c>
      <c r="B278" s="17" t="s">
        <v>7337</v>
      </c>
      <c r="C278" s="20">
        <v>1</v>
      </c>
      <c r="D278" s="18">
        <v>74</v>
      </c>
      <c r="E278" s="20">
        <v>7020031</v>
      </c>
      <c r="F278" s="17" t="s">
        <v>206</v>
      </c>
      <c r="G278" s="19" t="s">
        <v>17</v>
      </c>
      <c r="H278" s="18">
        <v>12.333333333333334</v>
      </c>
      <c r="I278" s="17" t="s">
        <v>111</v>
      </c>
      <c r="J278" s="17" t="s">
        <v>110</v>
      </c>
      <c r="K278" s="17"/>
      <c r="L278" s="17"/>
      <c r="M278" s="16" t="str">
        <f>HYPERLINK("http://slimages.macys.com/is/image/MCY/18278654 ")</f>
        <v xml:space="preserve">http://slimages.macys.com/is/image/MCY/18278654 </v>
      </c>
      <c r="N278" s="30"/>
    </row>
    <row r="279" spans="1:14" ht="60" x14ac:dyDescent="0.25">
      <c r="A279" s="19" t="s">
        <v>7336</v>
      </c>
      <c r="B279" s="17" t="s">
        <v>7335</v>
      </c>
      <c r="C279" s="20">
        <v>1</v>
      </c>
      <c r="D279" s="18">
        <v>60</v>
      </c>
      <c r="E279" s="20" t="s">
        <v>7334</v>
      </c>
      <c r="F279" s="17" t="s">
        <v>562</v>
      </c>
      <c r="G279" s="19" t="s">
        <v>69</v>
      </c>
      <c r="H279" s="18">
        <v>12.333333333333334</v>
      </c>
      <c r="I279" s="17" t="s">
        <v>80</v>
      </c>
      <c r="J279" s="17" t="s">
        <v>187</v>
      </c>
      <c r="K279" s="17"/>
      <c r="L279" s="17"/>
      <c r="M279" s="16" t="str">
        <f>HYPERLINK("http://slimages.macys.com/is/image/MCY/20043613 ")</f>
        <v xml:space="preserve">http://slimages.macys.com/is/image/MCY/20043613 </v>
      </c>
      <c r="N279" s="30"/>
    </row>
    <row r="280" spans="1:14" ht="60" x14ac:dyDescent="0.25">
      <c r="A280" s="19" t="s">
        <v>1116</v>
      </c>
      <c r="B280" s="17" t="s">
        <v>1115</v>
      </c>
      <c r="C280" s="20">
        <v>1</v>
      </c>
      <c r="D280" s="18">
        <v>50</v>
      </c>
      <c r="E280" s="20" t="s">
        <v>1110</v>
      </c>
      <c r="F280" s="17" t="s">
        <v>51</v>
      </c>
      <c r="G280" s="19" t="s">
        <v>17</v>
      </c>
      <c r="H280" s="18">
        <v>12.093333333333334</v>
      </c>
      <c r="I280" s="17" t="s">
        <v>16</v>
      </c>
      <c r="J280" s="17" t="s">
        <v>15</v>
      </c>
      <c r="K280" s="17"/>
      <c r="L280" s="17"/>
      <c r="M280" s="16" t="str">
        <f>HYPERLINK("http://slimages.macys.com/is/image/MCY/18951803 ")</f>
        <v xml:space="preserve">http://slimages.macys.com/is/image/MCY/18951803 </v>
      </c>
      <c r="N280" s="30"/>
    </row>
    <row r="281" spans="1:14" ht="60" x14ac:dyDescent="0.25">
      <c r="A281" s="19" t="s">
        <v>1112</v>
      </c>
      <c r="B281" s="17" t="s">
        <v>1111</v>
      </c>
      <c r="C281" s="20">
        <v>11</v>
      </c>
      <c r="D281" s="18">
        <v>50</v>
      </c>
      <c r="E281" s="20" t="s">
        <v>1110</v>
      </c>
      <c r="F281" s="17" t="s">
        <v>51</v>
      </c>
      <c r="G281" s="19" t="s">
        <v>22</v>
      </c>
      <c r="H281" s="18">
        <v>12.093333333333334</v>
      </c>
      <c r="I281" s="17" t="s">
        <v>16</v>
      </c>
      <c r="J281" s="17" t="s">
        <v>15</v>
      </c>
      <c r="K281" s="17"/>
      <c r="L281" s="17"/>
      <c r="M281" s="16" t="str">
        <f>HYPERLINK("http://slimages.macys.com/is/image/MCY/18951803 ")</f>
        <v xml:space="preserve">http://slimages.macys.com/is/image/MCY/18951803 </v>
      </c>
      <c r="N281" s="30"/>
    </row>
    <row r="282" spans="1:14" ht="60" x14ac:dyDescent="0.25">
      <c r="A282" s="19" t="s">
        <v>5725</v>
      </c>
      <c r="B282" s="17" t="s">
        <v>5724</v>
      </c>
      <c r="C282" s="20">
        <v>8</v>
      </c>
      <c r="D282" s="18">
        <v>50</v>
      </c>
      <c r="E282" s="20" t="s">
        <v>1110</v>
      </c>
      <c r="F282" s="17" t="s">
        <v>51</v>
      </c>
      <c r="G282" s="19" t="s">
        <v>22</v>
      </c>
      <c r="H282" s="18">
        <v>12.086666666666666</v>
      </c>
      <c r="I282" s="17" t="s">
        <v>16</v>
      </c>
      <c r="J282" s="17" t="s">
        <v>15</v>
      </c>
      <c r="K282" s="17"/>
      <c r="L282" s="17"/>
      <c r="M282" s="16" t="str">
        <f>HYPERLINK("http://slimages.macys.com/is/image/MCY/18951804 ")</f>
        <v xml:space="preserve">http://slimages.macys.com/is/image/MCY/18951804 </v>
      </c>
      <c r="N282" s="30"/>
    </row>
    <row r="283" spans="1:14" ht="60" x14ac:dyDescent="0.25">
      <c r="A283" s="19" t="s">
        <v>7333</v>
      </c>
      <c r="B283" s="17" t="s">
        <v>7332</v>
      </c>
      <c r="C283" s="20">
        <v>1</v>
      </c>
      <c r="D283" s="18">
        <v>69</v>
      </c>
      <c r="E283" s="20">
        <v>2321805</v>
      </c>
      <c r="F283" s="17" t="s">
        <v>70</v>
      </c>
      <c r="G283" s="19" t="s">
        <v>43</v>
      </c>
      <c r="H283" s="18">
        <v>12</v>
      </c>
      <c r="I283" s="17" t="s">
        <v>80</v>
      </c>
      <c r="J283" s="17" t="s">
        <v>293</v>
      </c>
      <c r="K283" s="17"/>
      <c r="L283" s="17"/>
      <c r="M283" s="16" t="str">
        <f>HYPERLINK("http://slimages.macys.com/is/image/MCY/18749723 ")</f>
        <v xml:space="preserve">http://slimages.macys.com/is/image/MCY/18749723 </v>
      </c>
      <c r="N283" s="30"/>
    </row>
    <row r="284" spans="1:14" ht="60" x14ac:dyDescent="0.25">
      <c r="A284" s="19" t="s">
        <v>5026</v>
      </c>
      <c r="B284" s="17" t="s">
        <v>5025</v>
      </c>
      <c r="C284" s="20">
        <v>3</v>
      </c>
      <c r="D284" s="18">
        <v>69</v>
      </c>
      <c r="E284" s="20">
        <v>2321805</v>
      </c>
      <c r="F284" s="17" t="s">
        <v>70</v>
      </c>
      <c r="G284" s="19" t="s">
        <v>17</v>
      </c>
      <c r="H284" s="18">
        <v>12</v>
      </c>
      <c r="I284" s="17" t="s">
        <v>80</v>
      </c>
      <c r="J284" s="17" t="s">
        <v>293</v>
      </c>
      <c r="K284" s="17"/>
      <c r="L284" s="17"/>
      <c r="M284" s="16" t="str">
        <f>HYPERLINK("http://slimages.macys.com/is/image/MCY/18749723 ")</f>
        <v xml:space="preserve">http://slimages.macys.com/is/image/MCY/18749723 </v>
      </c>
      <c r="N284" s="30"/>
    </row>
    <row r="285" spans="1:14" ht="60" x14ac:dyDescent="0.25">
      <c r="A285" s="19" t="s">
        <v>7331</v>
      </c>
      <c r="B285" s="17" t="s">
        <v>7330</v>
      </c>
      <c r="C285" s="20">
        <v>1</v>
      </c>
      <c r="D285" s="18">
        <v>59</v>
      </c>
      <c r="E285" s="20" t="s">
        <v>7329</v>
      </c>
      <c r="F285" s="17" t="s">
        <v>58</v>
      </c>
      <c r="G285" s="19" t="s">
        <v>857</v>
      </c>
      <c r="H285" s="18">
        <v>12</v>
      </c>
      <c r="I285" s="17" t="s">
        <v>148</v>
      </c>
      <c r="J285" s="17" t="s">
        <v>7328</v>
      </c>
      <c r="K285" s="17"/>
      <c r="L285" s="17"/>
      <c r="M285" s="16" t="str">
        <f>HYPERLINK("http://slimages.macys.com/is/image/MCY/19173859 ")</f>
        <v xml:space="preserve">http://slimages.macys.com/is/image/MCY/19173859 </v>
      </c>
      <c r="N285" s="30"/>
    </row>
    <row r="286" spans="1:14" ht="60" x14ac:dyDescent="0.25">
      <c r="A286" s="19" t="s">
        <v>5721</v>
      </c>
      <c r="B286" s="17" t="s">
        <v>5720</v>
      </c>
      <c r="C286" s="20">
        <v>2</v>
      </c>
      <c r="D286" s="18">
        <v>69</v>
      </c>
      <c r="E286" s="20">
        <v>2321805</v>
      </c>
      <c r="F286" s="17" t="s">
        <v>70</v>
      </c>
      <c r="G286" s="19" t="s">
        <v>22</v>
      </c>
      <c r="H286" s="18">
        <v>12</v>
      </c>
      <c r="I286" s="17" t="s">
        <v>80</v>
      </c>
      <c r="J286" s="17" t="s">
        <v>293</v>
      </c>
      <c r="K286" s="17"/>
      <c r="L286" s="17"/>
      <c r="M286" s="16" t="str">
        <f>HYPERLINK("http://slimages.macys.com/is/image/MCY/18749723 ")</f>
        <v xml:space="preserve">http://slimages.macys.com/is/image/MCY/18749723 </v>
      </c>
      <c r="N286" s="30"/>
    </row>
    <row r="287" spans="1:14" ht="60" x14ac:dyDescent="0.25">
      <c r="A287" s="19" t="s">
        <v>5723</v>
      </c>
      <c r="B287" s="17" t="s">
        <v>5722</v>
      </c>
      <c r="C287" s="20">
        <v>2</v>
      </c>
      <c r="D287" s="18">
        <v>69</v>
      </c>
      <c r="E287" s="20">
        <v>2321805</v>
      </c>
      <c r="F287" s="17" t="s">
        <v>70</v>
      </c>
      <c r="G287" s="19" t="s">
        <v>313</v>
      </c>
      <c r="H287" s="18">
        <v>12</v>
      </c>
      <c r="I287" s="17" t="s">
        <v>80</v>
      </c>
      <c r="J287" s="17" t="s">
        <v>293</v>
      </c>
      <c r="K287" s="17"/>
      <c r="L287" s="17"/>
      <c r="M287" s="16" t="str">
        <f>HYPERLINK("http://slimages.macys.com/is/image/MCY/18749723 ")</f>
        <v xml:space="preserve">http://slimages.macys.com/is/image/MCY/18749723 </v>
      </c>
      <c r="N287" s="30"/>
    </row>
    <row r="288" spans="1:14" ht="60" x14ac:dyDescent="0.25">
      <c r="A288" s="19" t="s">
        <v>5028</v>
      </c>
      <c r="B288" s="17" t="s">
        <v>5027</v>
      </c>
      <c r="C288" s="20">
        <v>1</v>
      </c>
      <c r="D288" s="18">
        <v>69</v>
      </c>
      <c r="E288" s="20">
        <v>2321805</v>
      </c>
      <c r="F288" s="17" t="s">
        <v>70</v>
      </c>
      <c r="G288" s="19" t="s">
        <v>50</v>
      </c>
      <c r="H288" s="18">
        <v>12</v>
      </c>
      <c r="I288" s="17" t="s">
        <v>80</v>
      </c>
      <c r="J288" s="17" t="s">
        <v>293</v>
      </c>
      <c r="K288" s="17"/>
      <c r="L288" s="17"/>
      <c r="M288" s="16" t="str">
        <f>HYPERLINK("http://slimages.macys.com/is/image/MCY/18749723 ")</f>
        <v xml:space="preserve">http://slimages.macys.com/is/image/MCY/18749723 </v>
      </c>
      <c r="N288" s="30"/>
    </row>
    <row r="289" spans="1:14" ht="60" x14ac:dyDescent="0.25">
      <c r="A289" s="19" t="s">
        <v>5033</v>
      </c>
      <c r="B289" s="17" t="s">
        <v>5032</v>
      </c>
      <c r="C289" s="20">
        <v>17</v>
      </c>
      <c r="D289" s="18">
        <v>69</v>
      </c>
      <c r="E289" s="20">
        <v>2321805</v>
      </c>
      <c r="F289" s="17" t="s">
        <v>70</v>
      </c>
      <c r="G289" s="19" t="s">
        <v>101</v>
      </c>
      <c r="H289" s="18">
        <v>12</v>
      </c>
      <c r="I289" s="17" t="s">
        <v>80</v>
      </c>
      <c r="J289" s="17" t="s">
        <v>293</v>
      </c>
      <c r="K289" s="17"/>
      <c r="L289" s="17"/>
      <c r="M289" s="16" t="str">
        <f>HYPERLINK("http://slimages.macys.com/is/image/MCY/18749723 ")</f>
        <v xml:space="preserve">http://slimages.macys.com/is/image/MCY/18749723 </v>
      </c>
      <c r="N289" s="30"/>
    </row>
    <row r="290" spans="1:14" ht="60" x14ac:dyDescent="0.25">
      <c r="A290" s="19" t="s">
        <v>7327</v>
      </c>
      <c r="B290" s="17" t="s">
        <v>7326</v>
      </c>
      <c r="C290" s="20">
        <v>1</v>
      </c>
      <c r="D290" s="18">
        <v>89</v>
      </c>
      <c r="E290" s="20">
        <v>9231027</v>
      </c>
      <c r="F290" s="17" t="s">
        <v>433</v>
      </c>
      <c r="G290" s="19" t="s">
        <v>271</v>
      </c>
      <c r="H290" s="18">
        <v>11.866666666666667</v>
      </c>
      <c r="I290" s="17" t="s">
        <v>138</v>
      </c>
      <c r="J290" s="17" t="s">
        <v>137</v>
      </c>
      <c r="K290" s="17"/>
      <c r="L290" s="17"/>
      <c r="M290" s="16" t="str">
        <f>HYPERLINK("http://slimages.macys.com/is/image/MCY/19196122 ")</f>
        <v xml:space="preserve">http://slimages.macys.com/is/image/MCY/19196122 </v>
      </c>
      <c r="N290" s="30"/>
    </row>
    <row r="291" spans="1:14" ht="60" x14ac:dyDescent="0.25">
      <c r="A291" s="19" t="s">
        <v>7325</v>
      </c>
      <c r="B291" s="17" t="s">
        <v>7324</v>
      </c>
      <c r="C291" s="20">
        <v>1</v>
      </c>
      <c r="D291" s="18">
        <v>59</v>
      </c>
      <c r="E291" s="20" t="s">
        <v>1879</v>
      </c>
      <c r="F291" s="17" t="s">
        <v>206</v>
      </c>
      <c r="G291" s="19" t="s">
        <v>57</v>
      </c>
      <c r="H291" s="18">
        <v>11.8</v>
      </c>
      <c r="I291" s="17" t="s">
        <v>144</v>
      </c>
      <c r="J291" s="17" t="s">
        <v>496</v>
      </c>
      <c r="K291" s="17"/>
      <c r="L291" s="17"/>
      <c r="M291" s="16" t="str">
        <f>HYPERLINK("http://slimages.macys.com/is/image/MCY/18844525 ")</f>
        <v xml:space="preserve">http://slimages.macys.com/is/image/MCY/18844525 </v>
      </c>
      <c r="N291" s="30"/>
    </row>
    <row r="292" spans="1:14" ht="60" x14ac:dyDescent="0.25">
      <c r="A292" s="19" t="s">
        <v>7323</v>
      </c>
      <c r="B292" s="17" t="s">
        <v>7322</v>
      </c>
      <c r="C292" s="20">
        <v>1</v>
      </c>
      <c r="D292" s="18">
        <v>59</v>
      </c>
      <c r="E292" s="20">
        <v>10799158</v>
      </c>
      <c r="F292" s="17" t="s">
        <v>140</v>
      </c>
      <c r="G292" s="19" t="s">
        <v>351</v>
      </c>
      <c r="H292" s="18">
        <v>11.8</v>
      </c>
      <c r="I292" s="17" t="s">
        <v>358</v>
      </c>
      <c r="J292" s="17" t="s">
        <v>554</v>
      </c>
      <c r="K292" s="17"/>
      <c r="L292" s="17"/>
      <c r="M292" s="16" t="str">
        <f>HYPERLINK("http://slimages.macys.com/is/image/MCY/18520659 ")</f>
        <v xml:space="preserve">http://slimages.macys.com/is/image/MCY/18520659 </v>
      </c>
      <c r="N292" s="30"/>
    </row>
    <row r="293" spans="1:14" ht="60" x14ac:dyDescent="0.25">
      <c r="A293" s="19" t="s">
        <v>7321</v>
      </c>
      <c r="B293" s="17" t="s">
        <v>7320</v>
      </c>
      <c r="C293" s="20">
        <v>1</v>
      </c>
      <c r="D293" s="18">
        <v>69.5</v>
      </c>
      <c r="E293" s="20">
        <v>30155716</v>
      </c>
      <c r="F293" s="17" t="s">
        <v>282</v>
      </c>
      <c r="G293" s="19" t="s">
        <v>898</v>
      </c>
      <c r="H293" s="18">
        <v>11.586666666666668</v>
      </c>
      <c r="I293" s="17" t="s">
        <v>481</v>
      </c>
      <c r="J293" s="17" t="s">
        <v>480</v>
      </c>
      <c r="K293" s="17"/>
      <c r="L293" s="17"/>
      <c r="M293" s="16" t="str">
        <f>HYPERLINK("http://slimages.macys.com/is/image/MCY/21169561 ")</f>
        <v xml:space="preserve">http://slimages.macys.com/is/image/MCY/21169561 </v>
      </c>
      <c r="N293" s="30"/>
    </row>
    <row r="294" spans="1:14" ht="60" x14ac:dyDescent="0.25">
      <c r="A294" s="19" t="s">
        <v>7319</v>
      </c>
      <c r="B294" s="17" t="s">
        <v>7318</v>
      </c>
      <c r="C294" s="20">
        <v>1</v>
      </c>
      <c r="D294" s="18">
        <v>69.5</v>
      </c>
      <c r="E294" s="20">
        <v>30155716</v>
      </c>
      <c r="F294" s="17" t="s">
        <v>28</v>
      </c>
      <c r="G294" s="19" t="s">
        <v>898</v>
      </c>
      <c r="H294" s="18">
        <v>11.586666666666668</v>
      </c>
      <c r="I294" s="17" t="s">
        <v>481</v>
      </c>
      <c r="J294" s="17" t="s">
        <v>480</v>
      </c>
      <c r="K294" s="17"/>
      <c r="L294" s="17"/>
      <c r="M294" s="16" t="str">
        <f>HYPERLINK("http://slimages.macys.com/is/image/MCY/21169561 ")</f>
        <v xml:space="preserve">http://slimages.macys.com/is/image/MCY/21169561 </v>
      </c>
      <c r="N294" s="30"/>
    </row>
    <row r="295" spans="1:14" ht="60" x14ac:dyDescent="0.25">
      <c r="A295" s="19" t="s">
        <v>7317</v>
      </c>
      <c r="B295" s="17" t="s">
        <v>7316</v>
      </c>
      <c r="C295" s="20">
        <v>1</v>
      </c>
      <c r="D295" s="18">
        <v>59</v>
      </c>
      <c r="E295" s="20" t="s">
        <v>7315</v>
      </c>
      <c r="F295" s="17" t="s">
        <v>206</v>
      </c>
      <c r="G295" s="19" t="s">
        <v>74</v>
      </c>
      <c r="H295" s="18">
        <v>11.566666666666668</v>
      </c>
      <c r="I295" s="17" t="s">
        <v>492</v>
      </c>
      <c r="J295" s="17" t="s">
        <v>491</v>
      </c>
      <c r="K295" s="17"/>
      <c r="L295" s="17"/>
      <c r="M295" s="16" t="str">
        <f>HYPERLINK("http://slimages.macys.com/is/image/MCY/19026851 ")</f>
        <v xml:space="preserve">http://slimages.macys.com/is/image/MCY/19026851 </v>
      </c>
      <c r="N295" s="30"/>
    </row>
    <row r="296" spans="1:14" ht="60" x14ac:dyDescent="0.25">
      <c r="A296" s="19" t="s">
        <v>3537</v>
      </c>
      <c r="B296" s="17" t="s">
        <v>3536</v>
      </c>
      <c r="C296" s="20">
        <v>1</v>
      </c>
      <c r="D296" s="18">
        <v>45</v>
      </c>
      <c r="E296" s="20" t="s">
        <v>3535</v>
      </c>
      <c r="F296" s="17" t="s">
        <v>51</v>
      </c>
      <c r="G296" s="19" t="s">
        <v>22</v>
      </c>
      <c r="H296" s="18">
        <v>11.52</v>
      </c>
      <c r="I296" s="17" t="s">
        <v>16</v>
      </c>
      <c r="J296" s="17" t="s">
        <v>15</v>
      </c>
      <c r="K296" s="17"/>
      <c r="L296" s="17"/>
      <c r="M296" s="16" t="str">
        <f>HYPERLINK("http://slimages.macys.com/is/image/MCY/19043645 ")</f>
        <v xml:space="preserve">http://slimages.macys.com/is/image/MCY/19043645 </v>
      </c>
      <c r="N296" s="30"/>
    </row>
    <row r="297" spans="1:14" ht="72" x14ac:dyDescent="0.25">
      <c r="A297" s="19" t="s">
        <v>7314</v>
      </c>
      <c r="B297" s="17" t="s">
        <v>7313</v>
      </c>
      <c r="C297" s="20">
        <v>1</v>
      </c>
      <c r="D297" s="18">
        <v>69</v>
      </c>
      <c r="E297" s="20">
        <v>10687266</v>
      </c>
      <c r="F297" s="17" t="s">
        <v>51</v>
      </c>
      <c r="G297" s="19" t="s">
        <v>658</v>
      </c>
      <c r="H297" s="18">
        <v>11.500000000000002</v>
      </c>
      <c r="I297" s="17" t="s">
        <v>144</v>
      </c>
      <c r="J297" s="17" t="s">
        <v>1211</v>
      </c>
      <c r="K297" s="17" t="s">
        <v>389</v>
      </c>
      <c r="L297" s="17" t="s">
        <v>1322</v>
      </c>
      <c r="M297" s="16" t="str">
        <f>HYPERLINK("http://slimages.macys.com/is/image/MCY/9682015 ")</f>
        <v xml:space="preserve">http://slimages.macys.com/is/image/MCY/9682015 </v>
      </c>
      <c r="N297" s="30"/>
    </row>
    <row r="298" spans="1:14" ht="60" x14ac:dyDescent="0.25">
      <c r="A298" s="19" t="s">
        <v>7312</v>
      </c>
      <c r="B298" s="17" t="s">
        <v>7311</v>
      </c>
      <c r="C298" s="20">
        <v>1</v>
      </c>
      <c r="D298" s="18">
        <v>59.5</v>
      </c>
      <c r="E298" s="20" t="s">
        <v>7310</v>
      </c>
      <c r="F298" s="17" t="s">
        <v>881</v>
      </c>
      <c r="G298" s="19"/>
      <c r="H298" s="18">
        <v>11.306666666666667</v>
      </c>
      <c r="I298" s="17" t="s">
        <v>540</v>
      </c>
      <c r="J298" s="17" t="s">
        <v>105</v>
      </c>
      <c r="K298" s="17"/>
      <c r="L298" s="17"/>
      <c r="M298" s="16" t="str">
        <f>HYPERLINK("http://slimages.macys.com/is/image/MCY/18438771 ")</f>
        <v xml:space="preserve">http://slimages.macys.com/is/image/MCY/18438771 </v>
      </c>
      <c r="N298" s="30"/>
    </row>
    <row r="299" spans="1:14" ht="60" x14ac:dyDescent="0.25">
      <c r="A299" s="19" t="s">
        <v>7309</v>
      </c>
      <c r="B299" s="17" t="s">
        <v>7308</v>
      </c>
      <c r="C299" s="20">
        <v>1</v>
      </c>
      <c r="D299" s="18">
        <v>59.5</v>
      </c>
      <c r="E299" s="20" t="s">
        <v>4348</v>
      </c>
      <c r="F299" s="17" t="s">
        <v>58</v>
      </c>
      <c r="G299" s="19" t="s">
        <v>74</v>
      </c>
      <c r="H299" s="18">
        <v>11.206666666666667</v>
      </c>
      <c r="I299" s="17" t="s">
        <v>56</v>
      </c>
      <c r="J299" s="17" t="s">
        <v>55</v>
      </c>
      <c r="K299" s="17"/>
      <c r="L299" s="17"/>
      <c r="M299" s="16" t="str">
        <f>HYPERLINK("http://slimages.macys.com/is/image/MCY/19184973 ")</f>
        <v xml:space="preserve">http://slimages.macys.com/is/image/MCY/19184973 </v>
      </c>
      <c r="N299" s="30"/>
    </row>
    <row r="300" spans="1:14" ht="60" x14ac:dyDescent="0.25">
      <c r="A300" s="19" t="s">
        <v>7307</v>
      </c>
      <c r="B300" s="17" t="s">
        <v>7306</v>
      </c>
      <c r="C300" s="20">
        <v>1</v>
      </c>
      <c r="D300" s="18">
        <v>59.5</v>
      </c>
      <c r="E300" s="20" t="s">
        <v>7305</v>
      </c>
      <c r="F300" s="17" t="s">
        <v>91</v>
      </c>
      <c r="G300" s="19" t="s">
        <v>197</v>
      </c>
      <c r="H300" s="18">
        <v>11.206666666666667</v>
      </c>
      <c r="I300" s="17" t="s">
        <v>56</v>
      </c>
      <c r="J300" s="17" t="s">
        <v>55</v>
      </c>
      <c r="K300" s="17"/>
      <c r="L300" s="17"/>
      <c r="M300" s="16" t="str">
        <f>HYPERLINK("http://slimages.macys.com/is/image/MCY/18757496 ")</f>
        <v xml:space="preserve">http://slimages.macys.com/is/image/MCY/18757496 </v>
      </c>
      <c r="N300" s="30"/>
    </row>
    <row r="301" spans="1:14" ht="60" x14ac:dyDescent="0.25">
      <c r="A301" s="19" t="s">
        <v>2644</v>
      </c>
      <c r="B301" s="17" t="s">
        <v>2643</v>
      </c>
      <c r="C301" s="20">
        <v>1</v>
      </c>
      <c r="D301" s="18">
        <v>59.5</v>
      </c>
      <c r="E301" s="20" t="s">
        <v>2642</v>
      </c>
      <c r="F301" s="17" t="s">
        <v>63</v>
      </c>
      <c r="G301" s="19" t="s">
        <v>74</v>
      </c>
      <c r="H301" s="18">
        <v>11.206666666666667</v>
      </c>
      <c r="I301" s="17" t="s">
        <v>56</v>
      </c>
      <c r="J301" s="17" t="s">
        <v>55</v>
      </c>
      <c r="K301" s="17"/>
      <c r="L301" s="17"/>
      <c r="M301" s="16" t="str">
        <f>HYPERLINK("http://slimages.macys.com/is/image/MCY/19019912 ")</f>
        <v xml:space="preserve">http://slimages.macys.com/is/image/MCY/19019912 </v>
      </c>
      <c r="N301" s="30"/>
    </row>
    <row r="302" spans="1:14" ht="60" x14ac:dyDescent="0.25">
      <c r="A302" s="19" t="s">
        <v>7304</v>
      </c>
      <c r="B302" s="17" t="s">
        <v>7303</v>
      </c>
      <c r="C302" s="20">
        <v>1</v>
      </c>
      <c r="D302" s="18">
        <v>59.5</v>
      </c>
      <c r="E302" s="20" t="s">
        <v>3503</v>
      </c>
      <c r="F302" s="17" t="s">
        <v>58</v>
      </c>
      <c r="G302" s="19" t="s">
        <v>62</v>
      </c>
      <c r="H302" s="18">
        <v>11.206666666666667</v>
      </c>
      <c r="I302" s="17" t="s">
        <v>56</v>
      </c>
      <c r="J302" s="17" t="s">
        <v>55</v>
      </c>
      <c r="K302" s="17"/>
      <c r="L302" s="17"/>
      <c r="M302" s="16" t="str">
        <f>HYPERLINK("http://slimages.macys.com/is/image/MCY/18751512 ")</f>
        <v xml:space="preserve">http://slimages.macys.com/is/image/MCY/18751512 </v>
      </c>
      <c r="N302" s="30"/>
    </row>
    <row r="303" spans="1:14" ht="60" x14ac:dyDescent="0.25">
      <c r="A303" s="19" t="s">
        <v>7302</v>
      </c>
      <c r="B303" s="17" t="s">
        <v>7301</v>
      </c>
      <c r="C303" s="20">
        <v>1</v>
      </c>
      <c r="D303" s="18">
        <v>59.5</v>
      </c>
      <c r="E303" s="20" t="s">
        <v>4348</v>
      </c>
      <c r="F303" s="17" t="s">
        <v>58</v>
      </c>
      <c r="G303" s="19" t="s">
        <v>69</v>
      </c>
      <c r="H303" s="18">
        <v>11.206666666666667</v>
      </c>
      <c r="I303" s="17" t="s">
        <v>56</v>
      </c>
      <c r="J303" s="17" t="s">
        <v>55</v>
      </c>
      <c r="K303" s="17"/>
      <c r="L303" s="17"/>
      <c r="M303" s="16" t="str">
        <f>HYPERLINK("http://slimages.macys.com/is/image/MCY/19184973 ")</f>
        <v xml:space="preserve">http://slimages.macys.com/is/image/MCY/19184973 </v>
      </c>
      <c r="N303" s="30"/>
    </row>
    <row r="304" spans="1:14" ht="60" x14ac:dyDescent="0.25">
      <c r="A304" s="19" t="s">
        <v>6459</v>
      </c>
      <c r="B304" s="17" t="s">
        <v>6458</v>
      </c>
      <c r="C304" s="20">
        <v>2</v>
      </c>
      <c r="D304" s="18">
        <v>59.5</v>
      </c>
      <c r="E304" s="20" t="s">
        <v>368</v>
      </c>
      <c r="F304" s="17" t="s">
        <v>63</v>
      </c>
      <c r="G304" s="19" t="s">
        <v>69</v>
      </c>
      <c r="H304" s="18">
        <v>11.206666666666667</v>
      </c>
      <c r="I304" s="17" t="s">
        <v>56</v>
      </c>
      <c r="J304" s="17" t="s">
        <v>55</v>
      </c>
      <c r="K304" s="17"/>
      <c r="L304" s="17"/>
      <c r="M304" s="16" t="str">
        <f>HYPERLINK("http://slimages.macys.com/is/image/MCY/19019250 ")</f>
        <v xml:space="preserve">http://slimages.macys.com/is/image/MCY/19019250 </v>
      </c>
      <c r="N304" s="30"/>
    </row>
    <row r="305" spans="1:14" ht="60" x14ac:dyDescent="0.25">
      <c r="A305" s="19" t="s">
        <v>7300</v>
      </c>
      <c r="B305" s="17" t="s">
        <v>7299</v>
      </c>
      <c r="C305" s="20">
        <v>1</v>
      </c>
      <c r="D305" s="18">
        <v>59.5</v>
      </c>
      <c r="E305" s="20" t="s">
        <v>7298</v>
      </c>
      <c r="F305" s="17" t="s">
        <v>51</v>
      </c>
      <c r="G305" s="19" t="s">
        <v>57</v>
      </c>
      <c r="H305" s="18">
        <v>11.206666666666667</v>
      </c>
      <c r="I305" s="17" t="s">
        <v>56</v>
      </c>
      <c r="J305" s="17" t="s">
        <v>55</v>
      </c>
      <c r="K305" s="17"/>
      <c r="L305" s="17"/>
      <c r="M305" s="16" t="str">
        <f>HYPERLINK("http://slimages.macys.com/is/image/MCY/18863080 ")</f>
        <v xml:space="preserve">http://slimages.macys.com/is/image/MCY/18863080 </v>
      </c>
      <c r="N305" s="30"/>
    </row>
    <row r="306" spans="1:14" ht="60" x14ac:dyDescent="0.25">
      <c r="A306" s="19" t="s">
        <v>7297</v>
      </c>
      <c r="B306" s="17" t="s">
        <v>7296</v>
      </c>
      <c r="C306" s="20">
        <v>1</v>
      </c>
      <c r="D306" s="18">
        <v>59</v>
      </c>
      <c r="E306" s="20">
        <v>10797224</v>
      </c>
      <c r="F306" s="17" t="s">
        <v>85</v>
      </c>
      <c r="G306" s="19" t="s">
        <v>197</v>
      </c>
      <c r="H306" s="18">
        <v>11.206666666666667</v>
      </c>
      <c r="I306" s="17" t="s">
        <v>120</v>
      </c>
      <c r="J306" s="17" t="s">
        <v>119</v>
      </c>
      <c r="K306" s="17"/>
      <c r="L306" s="17"/>
      <c r="M306" s="16" t="str">
        <f>HYPERLINK("http://slimages.macys.com/is/image/MCY/18692759 ")</f>
        <v xml:space="preserve">http://slimages.macys.com/is/image/MCY/18692759 </v>
      </c>
      <c r="N306" s="30"/>
    </row>
    <row r="307" spans="1:14" ht="60" x14ac:dyDescent="0.25">
      <c r="A307" s="19" t="s">
        <v>6448</v>
      </c>
      <c r="B307" s="17" t="s">
        <v>6447</v>
      </c>
      <c r="C307" s="20">
        <v>1</v>
      </c>
      <c r="D307" s="18">
        <v>59.5</v>
      </c>
      <c r="E307" s="20" t="s">
        <v>6446</v>
      </c>
      <c r="F307" s="17" t="s">
        <v>58</v>
      </c>
      <c r="G307" s="19" t="s">
        <v>271</v>
      </c>
      <c r="H307" s="18">
        <v>11.206666666666667</v>
      </c>
      <c r="I307" s="17" t="s">
        <v>1891</v>
      </c>
      <c r="J307" s="17" t="s">
        <v>2435</v>
      </c>
      <c r="K307" s="17"/>
      <c r="L307" s="17"/>
      <c r="M307" s="16" t="str">
        <f>HYPERLINK("http://slimages.macys.com/is/image/MCY/19328810 ")</f>
        <v xml:space="preserve">http://slimages.macys.com/is/image/MCY/19328810 </v>
      </c>
      <c r="N307" s="30"/>
    </row>
    <row r="308" spans="1:14" ht="60" x14ac:dyDescent="0.25">
      <c r="A308" s="19" t="s">
        <v>7295</v>
      </c>
      <c r="B308" s="17" t="s">
        <v>7294</v>
      </c>
      <c r="C308" s="20">
        <v>1</v>
      </c>
      <c r="D308" s="18">
        <v>59.5</v>
      </c>
      <c r="E308" s="20" t="s">
        <v>2642</v>
      </c>
      <c r="F308" s="17" t="s">
        <v>63</v>
      </c>
      <c r="G308" s="19" t="s">
        <v>27</v>
      </c>
      <c r="H308" s="18">
        <v>11.206666666666667</v>
      </c>
      <c r="I308" s="17" t="s">
        <v>56</v>
      </c>
      <c r="J308" s="17" t="s">
        <v>55</v>
      </c>
      <c r="K308" s="17"/>
      <c r="L308" s="17"/>
      <c r="M308" s="16" t="str">
        <f>HYPERLINK("http://slimages.macys.com/is/image/MCY/19019912 ")</f>
        <v xml:space="preserve">http://slimages.macys.com/is/image/MCY/19019912 </v>
      </c>
      <c r="N308" s="30"/>
    </row>
    <row r="309" spans="1:14" ht="60" x14ac:dyDescent="0.25">
      <c r="A309" s="19" t="s">
        <v>3519</v>
      </c>
      <c r="B309" s="17" t="s">
        <v>3518</v>
      </c>
      <c r="C309" s="20">
        <v>1</v>
      </c>
      <c r="D309" s="18">
        <v>59.5</v>
      </c>
      <c r="E309" s="20" t="s">
        <v>3517</v>
      </c>
      <c r="F309" s="17" t="s">
        <v>206</v>
      </c>
      <c r="G309" s="19" t="s">
        <v>351</v>
      </c>
      <c r="H309" s="18">
        <v>11.206666666666667</v>
      </c>
      <c r="I309" s="17" t="s">
        <v>1891</v>
      </c>
      <c r="J309" s="17" t="s">
        <v>2435</v>
      </c>
      <c r="K309" s="17"/>
      <c r="L309" s="17"/>
      <c r="M309" s="16" t="str">
        <f>HYPERLINK("http://slimages.macys.com/is/image/MCY/19507771 ")</f>
        <v xml:space="preserve">http://slimages.macys.com/is/image/MCY/19507771 </v>
      </c>
      <c r="N309" s="30"/>
    </row>
    <row r="310" spans="1:14" ht="60" x14ac:dyDescent="0.25">
      <c r="A310" s="19" t="s">
        <v>7293</v>
      </c>
      <c r="B310" s="17" t="s">
        <v>7292</v>
      </c>
      <c r="C310" s="20">
        <v>1</v>
      </c>
      <c r="D310" s="18">
        <v>59.5</v>
      </c>
      <c r="E310" s="20" t="s">
        <v>7291</v>
      </c>
      <c r="F310" s="17" t="s">
        <v>23</v>
      </c>
      <c r="G310" s="19" t="s">
        <v>74</v>
      </c>
      <c r="H310" s="18">
        <v>11.206666666666667</v>
      </c>
      <c r="I310" s="17" t="s">
        <v>68</v>
      </c>
      <c r="J310" s="17" t="s">
        <v>67</v>
      </c>
      <c r="K310" s="17"/>
      <c r="L310" s="17"/>
      <c r="M310" s="16" t="str">
        <f>HYPERLINK("http://slimages.macys.com/is/image/MCY/18855810 ")</f>
        <v xml:space="preserve">http://slimages.macys.com/is/image/MCY/18855810 </v>
      </c>
      <c r="N310" s="30"/>
    </row>
    <row r="311" spans="1:14" ht="60" x14ac:dyDescent="0.25">
      <c r="A311" s="19" t="s">
        <v>7290</v>
      </c>
      <c r="B311" s="17" t="s">
        <v>7289</v>
      </c>
      <c r="C311" s="20">
        <v>1</v>
      </c>
      <c r="D311" s="18">
        <v>59.5</v>
      </c>
      <c r="E311" s="20" t="s">
        <v>6446</v>
      </c>
      <c r="F311" s="17" t="s">
        <v>28</v>
      </c>
      <c r="G311" s="19" t="s">
        <v>139</v>
      </c>
      <c r="H311" s="18">
        <v>11.206666666666667</v>
      </c>
      <c r="I311" s="17" t="s">
        <v>1891</v>
      </c>
      <c r="J311" s="17" t="s">
        <v>2435</v>
      </c>
      <c r="K311" s="17"/>
      <c r="L311" s="17"/>
      <c r="M311" s="16" t="str">
        <f>HYPERLINK("http://slimages.macys.com/is/image/MCY/17804339 ")</f>
        <v xml:space="preserve">http://slimages.macys.com/is/image/MCY/17804339 </v>
      </c>
      <c r="N311" s="30"/>
    </row>
    <row r="312" spans="1:14" ht="60" x14ac:dyDescent="0.25">
      <c r="A312" s="19" t="s">
        <v>7288</v>
      </c>
      <c r="B312" s="17" t="s">
        <v>7287</v>
      </c>
      <c r="C312" s="20">
        <v>1</v>
      </c>
      <c r="D312" s="18">
        <v>48</v>
      </c>
      <c r="E312" s="20" t="s">
        <v>7286</v>
      </c>
      <c r="F312" s="17" t="s">
        <v>164</v>
      </c>
      <c r="G312" s="19" t="s">
        <v>62</v>
      </c>
      <c r="H312" s="18">
        <v>11.2</v>
      </c>
      <c r="I312" s="17" t="s">
        <v>80</v>
      </c>
      <c r="J312" s="17" t="s">
        <v>79</v>
      </c>
      <c r="K312" s="17"/>
      <c r="L312" s="17"/>
      <c r="M312" s="16" t="str">
        <f>HYPERLINK("http://slimages.macys.com/is/image/MCY/18593571 ")</f>
        <v xml:space="preserve">http://slimages.macys.com/is/image/MCY/18593571 </v>
      </c>
      <c r="N312" s="30"/>
    </row>
    <row r="313" spans="1:14" ht="60" x14ac:dyDescent="0.25">
      <c r="A313" s="19" t="s">
        <v>7285</v>
      </c>
      <c r="B313" s="17" t="s">
        <v>7284</v>
      </c>
      <c r="C313" s="20">
        <v>1</v>
      </c>
      <c r="D313" s="18">
        <v>59.5</v>
      </c>
      <c r="E313" s="20" t="s">
        <v>7283</v>
      </c>
      <c r="F313" s="17" t="s">
        <v>51</v>
      </c>
      <c r="G313" s="19" t="s">
        <v>197</v>
      </c>
      <c r="H313" s="18">
        <v>11.2</v>
      </c>
      <c r="I313" s="17" t="s">
        <v>56</v>
      </c>
      <c r="J313" s="17" t="s">
        <v>55</v>
      </c>
      <c r="K313" s="17"/>
      <c r="L313" s="17"/>
      <c r="M313" s="16" t="str">
        <f>HYPERLINK("http://slimages.macys.com/is/image/MCY/19046706 ")</f>
        <v xml:space="preserve">http://slimages.macys.com/is/image/MCY/19046706 </v>
      </c>
      <c r="N313" s="30"/>
    </row>
    <row r="314" spans="1:14" ht="60" x14ac:dyDescent="0.25">
      <c r="A314" s="19" t="s">
        <v>7282</v>
      </c>
      <c r="B314" s="17" t="s">
        <v>7281</v>
      </c>
      <c r="C314" s="20">
        <v>1</v>
      </c>
      <c r="D314" s="18">
        <v>59.5</v>
      </c>
      <c r="E314" s="20">
        <v>30097116</v>
      </c>
      <c r="F314" s="17" t="s">
        <v>23</v>
      </c>
      <c r="G314" s="19" t="s">
        <v>74</v>
      </c>
      <c r="H314" s="18">
        <v>11.106666666666667</v>
      </c>
      <c r="I314" s="17" t="s">
        <v>80</v>
      </c>
      <c r="J314" s="17" t="s">
        <v>513</v>
      </c>
      <c r="K314" s="17"/>
      <c r="L314" s="17"/>
      <c r="M314" s="16" t="str">
        <f>HYPERLINK("http://slimages.macys.com/is/image/MCY/18849032 ")</f>
        <v xml:space="preserve">http://slimages.macys.com/is/image/MCY/18849032 </v>
      </c>
      <c r="N314" s="30"/>
    </row>
    <row r="315" spans="1:14" ht="60" x14ac:dyDescent="0.25">
      <c r="A315" s="19" t="s">
        <v>7280</v>
      </c>
      <c r="B315" s="17" t="s">
        <v>7279</v>
      </c>
      <c r="C315" s="20">
        <v>1</v>
      </c>
      <c r="D315" s="18">
        <v>59</v>
      </c>
      <c r="E315" s="20" t="s">
        <v>7278</v>
      </c>
      <c r="F315" s="17" t="s">
        <v>575</v>
      </c>
      <c r="G315" s="19" t="s">
        <v>34</v>
      </c>
      <c r="H315" s="18">
        <v>11.013333333333334</v>
      </c>
      <c r="I315" s="17" t="s">
        <v>33</v>
      </c>
      <c r="J315" s="17" t="s">
        <v>404</v>
      </c>
      <c r="K315" s="17"/>
      <c r="L315" s="17"/>
      <c r="M315" s="16" t="str">
        <f>HYPERLINK("http://slimages.macys.com/is/image/MCY/18273167 ")</f>
        <v xml:space="preserve">http://slimages.macys.com/is/image/MCY/18273167 </v>
      </c>
      <c r="N315" s="30"/>
    </row>
    <row r="316" spans="1:14" ht="60" x14ac:dyDescent="0.25">
      <c r="A316" s="19" t="s">
        <v>7277</v>
      </c>
      <c r="B316" s="17" t="s">
        <v>7276</v>
      </c>
      <c r="C316" s="20">
        <v>1</v>
      </c>
      <c r="D316" s="18">
        <v>45</v>
      </c>
      <c r="E316" s="20" t="s">
        <v>7275</v>
      </c>
      <c r="F316" s="17" t="s">
        <v>51</v>
      </c>
      <c r="G316" s="19" t="s">
        <v>101</v>
      </c>
      <c r="H316" s="18">
        <v>10.953333333333333</v>
      </c>
      <c r="I316" s="17" t="s">
        <v>16</v>
      </c>
      <c r="J316" s="17" t="s">
        <v>15</v>
      </c>
      <c r="K316" s="17" t="s">
        <v>389</v>
      </c>
      <c r="L316" s="17" t="s">
        <v>1129</v>
      </c>
      <c r="M316" s="16" t="str">
        <f>HYPERLINK("http://slimages.macys.com/is/image/MCY/13638610 ")</f>
        <v xml:space="preserve">http://slimages.macys.com/is/image/MCY/13638610 </v>
      </c>
      <c r="N316" s="30"/>
    </row>
    <row r="317" spans="1:14" ht="60" x14ac:dyDescent="0.25">
      <c r="A317" s="19" t="s">
        <v>7274</v>
      </c>
      <c r="B317" s="17" t="s">
        <v>7273</v>
      </c>
      <c r="C317" s="20">
        <v>1</v>
      </c>
      <c r="D317" s="18">
        <v>59.5</v>
      </c>
      <c r="E317" s="20" t="s">
        <v>7272</v>
      </c>
      <c r="F317" s="17" t="s">
        <v>51</v>
      </c>
      <c r="G317" s="19" t="s">
        <v>271</v>
      </c>
      <c r="H317" s="18">
        <v>10.906666666666666</v>
      </c>
      <c r="I317" s="17" t="s">
        <v>267</v>
      </c>
      <c r="J317" s="17" t="s">
        <v>32</v>
      </c>
      <c r="K317" s="17"/>
      <c r="L317" s="17"/>
      <c r="M317" s="16" t="str">
        <f>HYPERLINK("http://slimages.macys.com/is/image/MCY/18831508 ")</f>
        <v xml:space="preserve">http://slimages.macys.com/is/image/MCY/18831508 </v>
      </c>
      <c r="N317" s="30"/>
    </row>
    <row r="318" spans="1:14" ht="60" x14ac:dyDescent="0.25">
      <c r="A318" s="19" t="s">
        <v>7271</v>
      </c>
      <c r="B318" s="17" t="s">
        <v>7270</v>
      </c>
      <c r="C318" s="20">
        <v>1</v>
      </c>
      <c r="D318" s="18">
        <v>59.5</v>
      </c>
      <c r="E318" s="20" t="s">
        <v>7267</v>
      </c>
      <c r="F318" s="17" t="s">
        <v>272</v>
      </c>
      <c r="G318" s="19" t="s">
        <v>139</v>
      </c>
      <c r="H318" s="18">
        <v>10.906666666666666</v>
      </c>
      <c r="I318" s="17" t="s">
        <v>267</v>
      </c>
      <c r="J318" s="17" t="s">
        <v>32</v>
      </c>
      <c r="K318" s="17"/>
      <c r="L318" s="17"/>
      <c r="M318" s="16" t="str">
        <f>HYPERLINK("http://slimages.macys.com/is/image/MCY/19044233 ")</f>
        <v xml:space="preserve">http://slimages.macys.com/is/image/MCY/19044233 </v>
      </c>
      <c r="N318" s="30"/>
    </row>
    <row r="319" spans="1:14" ht="60" x14ac:dyDescent="0.25">
      <c r="A319" s="19" t="s">
        <v>7269</v>
      </c>
      <c r="B319" s="17" t="s">
        <v>7268</v>
      </c>
      <c r="C319" s="20">
        <v>1</v>
      </c>
      <c r="D319" s="18">
        <v>59.5</v>
      </c>
      <c r="E319" s="20" t="s">
        <v>7267</v>
      </c>
      <c r="F319" s="17" t="s">
        <v>23</v>
      </c>
      <c r="G319" s="19" t="s">
        <v>139</v>
      </c>
      <c r="H319" s="18">
        <v>10.906666666666666</v>
      </c>
      <c r="I319" s="17" t="s">
        <v>267</v>
      </c>
      <c r="J319" s="17" t="s">
        <v>32</v>
      </c>
      <c r="K319" s="17"/>
      <c r="L319" s="17"/>
      <c r="M319" s="16" t="str">
        <f>HYPERLINK("http://slimages.macys.com/is/image/MCY/19044233 ")</f>
        <v xml:space="preserve">http://slimages.macys.com/is/image/MCY/19044233 </v>
      </c>
      <c r="N319" s="30"/>
    </row>
    <row r="320" spans="1:14" ht="60" x14ac:dyDescent="0.25">
      <c r="A320" s="19" t="s">
        <v>7266</v>
      </c>
      <c r="B320" s="17" t="s">
        <v>7265</v>
      </c>
      <c r="C320" s="20">
        <v>1</v>
      </c>
      <c r="D320" s="18">
        <v>59.5</v>
      </c>
      <c r="E320" s="20" t="s">
        <v>7264</v>
      </c>
      <c r="F320" s="17" t="s">
        <v>206</v>
      </c>
      <c r="G320" s="19" t="s">
        <v>271</v>
      </c>
      <c r="H320" s="18">
        <v>10.906666666666666</v>
      </c>
      <c r="I320" s="17" t="s">
        <v>267</v>
      </c>
      <c r="J320" s="17" t="s">
        <v>32</v>
      </c>
      <c r="K320" s="17"/>
      <c r="L320" s="17"/>
      <c r="M320" s="16" t="str">
        <f>HYPERLINK("http://slimages.macys.com/is/image/MCY/16690307 ")</f>
        <v xml:space="preserve">http://slimages.macys.com/is/image/MCY/16690307 </v>
      </c>
      <c r="N320" s="30"/>
    </row>
    <row r="321" spans="1:14" ht="60" x14ac:dyDescent="0.25">
      <c r="A321" s="19" t="s">
        <v>7263</v>
      </c>
      <c r="B321" s="17" t="s">
        <v>7262</v>
      </c>
      <c r="C321" s="20">
        <v>1</v>
      </c>
      <c r="D321" s="18">
        <v>59</v>
      </c>
      <c r="E321" s="20" t="s">
        <v>7261</v>
      </c>
      <c r="F321" s="17" t="s">
        <v>149</v>
      </c>
      <c r="G321" s="19" t="s">
        <v>57</v>
      </c>
      <c r="H321" s="18">
        <v>10.893333333333333</v>
      </c>
      <c r="I321" s="17" t="s">
        <v>405</v>
      </c>
      <c r="J321" s="17" t="s">
        <v>404</v>
      </c>
      <c r="K321" s="17"/>
      <c r="L321" s="17"/>
      <c r="M321" s="16" t="str">
        <f>HYPERLINK("http://slimages.macys.com/is/image/MCY/19302588 ")</f>
        <v xml:space="preserve">http://slimages.macys.com/is/image/MCY/19302588 </v>
      </c>
      <c r="N321" s="30"/>
    </row>
    <row r="322" spans="1:14" ht="60" x14ac:dyDescent="0.25">
      <c r="A322" s="19" t="s">
        <v>7260</v>
      </c>
      <c r="B322" s="17" t="s">
        <v>7259</v>
      </c>
      <c r="C322" s="20">
        <v>1</v>
      </c>
      <c r="D322" s="18">
        <v>49</v>
      </c>
      <c r="E322" s="20" t="s">
        <v>7256</v>
      </c>
      <c r="F322" s="17" t="s">
        <v>544</v>
      </c>
      <c r="G322" s="19" t="s">
        <v>17</v>
      </c>
      <c r="H322" s="18">
        <v>10.813333333333334</v>
      </c>
      <c r="I322" s="17" t="s">
        <v>49</v>
      </c>
      <c r="J322" s="17" t="s">
        <v>48</v>
      </c>
      <c r="K322" s="17"/>
      <c r="L322" s="17"/>
      <c r="M322" s="16" t="str">
        <f>HYPERLINK("http://slimages.macys.com/is/image/MCY/18749143 ")</f>
        <v xml:space="preserve">http://slimages.macys.com/is/image/MCY/18749143 </v>
      </c>
      <c r="N322" s="30"/>
    </row>
    <row r="323" spans="1:14" ht="60" x14ac:dyDescent="0.25">
      <c r="A323" s="19" t="s">
        <v>7258</v>
      </c>
      <c r="B323" s="17" t="s">
        <v>7257</v>
      </c>
      <c r="C323" s="20">
        <v>1</v>
      </c>
      <c r="D323" s="18">
        <v>49</v>
      </c>
      <c r="E323" s="20" t="s">
        <v>7256</v>
      </c>
      <c r="F323" s="17" t="s">
        <v>413</v>
      </c>
      <c r="G323" s="19" t="s">
        <v>17</v>
      </c>
      <c r="H323" s="18">
        <v>10.813333333333334</v>
      </c>
      <c r="I323" s="17" t="s">
        <v>49</v>
      </c>
      <c r="J323" s="17" t="s">
        <v>48</v>
      </c>
      <c r="K323" s="17"/>
      <c r="L323" s="17"/>
      <c r="M323" s="16" t="str">
        <f>HYPERLINK("http://slimages.macys.com/is/image/MCY/18749143 ")</f>
        <v xml:space="preserve">http://slimages.macys.com/is/image/MCY/18749143 </v>
      </c>
      <c r="N323" s="30"/>
    </row>
    <row r="324" spans="1:14" ht="60" x14ac:dyDescent="0.25">
      <c r="A324" s="19" t="s">
        <v>336</v>
      </c>
      <c r="B324" s="17" t="s">
        <v>335</v>
      </c>
      <c r="C324" s="20">
        <v>1</v>
      </c>
      <c r="D324" s="18">
        <v>49</v>
      </c>
      <c r="E324" s="20" t="s">
        <v>334</v>
      </c>
      <c r="F324" s="17" t="s">
        <v>23</v>
      </c>
      <c r="G324" s="19" t="s">
        <v>50</v>
      </c>
      <c r="H324" s="18">
        <v>10.813333333333334</v>
      </c>
      <c r="I324" s="17" t="s">
        <v>49</v>
      </c>
      <c r="J324" s="17" t="s">
        <v>48</v>
      </c>
      <c r="K324" s="17"/>
      <c r="L324" s="17"/>
      <c r="M324" s="16" t="str">
        <f>HYPERLINK("http://slimages.macys.com/is/image/MCY/18510241 ")</f>
        <v xml:space="preserve">http://slimages.macys.com/is/image/MCY/18510241 </v>
      </c>
      <c r="N324" s="30"/>
    </row>
    <row r="325" spans="1:14" ht="60" x14ac:dyDescent="0.25">
      <c r="A325" s="19" t="s">
        <v>1842</v>
      </c>
      <c r="B325" s="17" t="s">
        <v>1841</v>
      </c>
      <c r="C325" s="20">
        <v>1</v>
      </c>
      <c r="D325" s="18">
        <v>49</v>
      </c>
      <c r="E325" s="20" t="s">
        <v>1840</v>
      </c>
      <c r="F325" s="17" t="s">
        <v>881</v>
      </c>
      <c r="G325" s="19" t="s">
        <v>101</v>
      </c>
      <c r="H325" s="18">
        <v>10.813333333333334</v>
      </c>
      <c r="I325" s="17" t="s">
        <v>49</v>
      </c>
      <c r="J325" s="17" t="s">
        <v>48</v>
      </c>
      <c r="K325" s="17"/>
      <c r="L325" s="17"/>
      <c r="M325" s="16" t="str">
        <f>HYPERLINK("http://slimages.macys.com/is/image/MCY/19349082 ")</f>
        <v xml:space="preserve">http://slimages.macys.com/is/image/MCY/19349082 </v>
      </c>
      <c r="N325" s="30"/>
    </row>
    <row r="326" spans="1:14" ht="60" x14ac:dyDescent="0.25">
      <c r="A326" s="19" t="s">
        <v>7255</v>
      </c>
      <c r="B326" s="17" t="s">
        <v>7254</v>
      </c>
      <c r="C326" s="20">
        <v>1</v>
      </c>
      <c r="D326" s="18">
        <v>49</v>
      </c>
      <c r="E326" s="20" t="s">
        <v>334</v>
      </c>
      <c r="F326" s="17" t="s">
        <v>23</v>
      </c>
      <c r="G326" s="19" t="s">
        <v>101</v>
      </c>
      <c r="H326" s="18">
        <v>10.813333333333334</v>
      </c>
      <c r="I326" s="17" t="s">
        <v>49</v>
      </c>
      <c r="J326" s="17" t="s">
        <v>48</v>
      </c>
      <c r="K326" s="17"/>
      <c r="L326" s="17"/>
      <c r="M326" s="16" t="str">
        <f>HYPERLINK("http://slimages.macys.com/is/image/MCY/18510241 ")</f>
        <v xml:space="preserve">http://slimages.macys.com/is/image/MCY/18510241 </v>
      </c>
      <c r="N326" s="30"/>
    </row>
    <row r="327" spans="1:14" ht="60" x14ac:dyDescent="0.25">
      <c r="A327" s="19" t="s">
        <v>7253</v>
      </c>
      <c r="B327" s="17" t="s">
        <v>7252</v>
      </c>
      <c r="C327" s="20">
        <v>1</v>
      </c>
      <c r="D327" s="18">
        <v>49</v>
      </c>
      <c r="E327" s="20" t="s">
        <v>1840</v>
      </c>
      <c r="F327" s="17" t="s">
        <v>881</v>
      </c>
      <c r="G327" s="19" t="s">
        <v>17</v>
      </c>
      <c r="H327" s="18">
        <v>10.813333333333334</v>
      </c>
      <c r="I327" s="17" t="s">
        <v>49</v>
      </c>
      <c r="J327" s="17" t="s">
        <v>48</v>
      </c>
      <c r="K327" s="17"/>
      <c r="L327" s="17"/>
      <c r="M327" s="16" t="str">
        <f>HYPERLINK("http://slimages.macys.com/is/image/MCY/19349082 ")</f>
        <v xml:space="preserve">http://slimages.macys.com/is/image/MCY/19349082 </v>
      </c>
      <c r="N327" s="30"/>
    </row>
    <row r="328" spans="1:14" ht="60" x14ac:dyDescent="0.25">
      <c r="A328" s="19" t="s">
        <v>7251</v>
      </c>
      <c r="B328" s="17" t="s">
        <v>7250</v>
      </c>
      <c r="C328" s="20">
        <v>1</v>
      </c>
      <c r="D328" s="18">
        <v>49</v>
      </c>
      <c r="E328" s="20" t="s">
        <v>334</v>
      </c>
      <c r="F328" s="17" t="s">
        <v>23</v>
      </c>
      <c r="G328" s="19" t="s">
        <v>22</v>
      </c>
      <c r="H328" s="18">
        <v>10.813333333333334</v>
      </c>
      <c r="I328" s="17" t="s">
        <v>49</v>
      </c>
      <c r="J328" s="17" t="s">
        <v>48</v>
      </c>
      <c r="K328" s="17"/>
      <c r="L328" s="17"/>
      <c r="M328" s="16" t="str">
        <f>HYPERLINK("http://slimages.macys.com/is/image/MCY/18510241 ")</f>
        <v xml:space="preserve">http://slimages.macys.com/is/image/MCY/18510241 </v>
      </c>
      <c r="N328" s="30"/>
    </row>
    <row r="329" spans="1:14" ht="60" x14ac:dyDescent="0.25">
      <c r="A329" s="19" t="s">
        <v>7249</v>
      </c>
      <c r="B329" s="17" t="s">
        <v>7248</v>
      </c>
      <c r="C329" s="20">
        <v>2</v>
      </c>
      <c r="D329" s="18">
        <v>41.3</v>
      </c>
      <c r="E329" s="20" t="s">
        <v>7247</v>
      </c>
      <c r="F329" s="17" t="s">
        <v>28</v>
      </c>
      <c r="G329" s="19" t="s">
        <v>57</v>
      </c>
      <c r="H329" s="18">
        <v>10.773333333333335</v>
      </c>
      <c r="I329" s="17" t="s">
        <v>42</v>
      </c>
      <c r="J329" s="17" t="s">
        <v>41</v>
      </c>
      <c r="K329" s="17"/>
      <c r="L329" s="17"/>
      <c r="M329" s="16" t="str">
        <f>HYPERLINK("http://slimages.macys.com/is/image/MCY/18504982 ")</f>
        <v xml:space="preserve">http://slimages.macys.com/is/image/MCY/18504982 </v>
      </c>
      <c r="N329" s="30"/>
    </row>
    <row r="330" spans="1:14" ht="60" x14ac:dyDescent="0.25">
      <c r="A330" s="19" t="s">
        <v>7246</v>
      </c>
      <c r="B330" s="17" t="s">
        <v>7245</v>
      </c>
      <c r="C330" s="20">
        <v>1</v>
      </c>
      <c r="D330" s="18">
        <v>41.3</v>
      </c>
      <c r="E330" s="20" t="s">
        <v>7244</v>
      </c>
      <c r="F330" s="17" t="s">
        <v>23</v>
      </c>
      <c r="G330" s="19" t="s">
        <v>69</v>
      </c>
      <c r="H330" s="18">
        <v>10.773333333333335</v>
      </c>
      <c r="I330" s="17" t="s">
        <v>42</v>
      </c>
      <c r="J330" s="17" t="s">
        <v>41</v>
      </c>
      <c r="K330" s="17"/>
      <c r="L330" s="17"/>
      <c r="M330" s="16" t="str">
        <f>HYPERLINK("http://slimages.macys.com/is/image/MCY/18757354 ")</f>
        <v xml:space="preserve">http://slimages.macys.com/is/image/MCY/18757354 </v>
      </c>
      <c r="N330" s="30"/>
    </row>
    <row r="331" spans="1:14" ht="60" x14ac:dyDescent="0.25">
      <c r="A331" s="19" t="s">
        <v>6417</v>
      </c>
      <c r="B331" s="17" t="s">
        <v>6416</v>
      </c>
      <c r="C331" s="20">
        <v>1</v>
      </c>
      <c r="D331" s="18">
        <v>41.3</v>
      </c>
      <c r="E331" s="20" t="s">
        <v>6415</v>
      </c>
      <c r="F331" s="17" t="s">
        <v>58</v>
      </c>
      <c r="G331" s="19" t="s">
        <v>62</v>
      </c>
      <c r="H331" s="18">
        <v>10.773333333333335</v>
      </c>
      <c r="I331" s="17" t="s">
        <v>42</v>
      </c>
      <c r="J331" s="17" t="s">
        <v>41</v>
      </c>
      <c r="K331" s="17"/>
      <c r="L331" s="17"/>
      <c r="M331" s="16" t="str">
        <f>HYPERLINK("http://slimages.macys.com/is/image/MCY/18903929 ")</f>
        <v xml:space="preserve">http://slimages.macys.com/is/image/MCY/18903929 </v>
      </c>
      <c r="N331" s="30"/>
    </row>
    <row r="332" spans="1:14" ht="60" x14ac:dyDescent="0.25">
      <c r="A332" s="19" t="s">
        <v>7243</v>
      </c>
      <c r="B332" s="17" t="s">
        <v>7242</v>
      </c>
      <c r="C332" s="20">
        <v>2</v>
      </c>
      <c r="D332" s="18">
        <v>69</v>
      </c>
      <c r="E332" s="20" t="s">
        <v>3438</v>
      </c>
      <c r="F332" s="17" t="s">
        <v>734</v>
      </c>
      <c r="G332" s="19" t="s">
        <v>116</v>
      </c>
      <c r="H332" s="18">
        <v>10.666666666666668</v>
      </c>
      <c r="I332" s="17" t="s">
        <v>148</v>
      </c>
      <c r="J332" s="17" t="s">
        <v>409</v>
      </c>
      <c r="K332" s="17"/>
      <c r="L332" s="17"/>
      <c r="M332" s="16" t="str">
        <f>HYPERLINK("http://slimages.macys.com/is/image/MCY/18719409 ")</f>
        <v xml:space="preserve">http://slimages.macys.com/is/image/MCY/18719409 </v>
      </c>
      <c r="N332" s="30"/>
    </row>
    <row r="333" spans="1:14" ht="60" x14ac:dyDescent="0.25">
      <c r="A333" s="19" t="s">
        <v>7241</v>
      </c>
      <c r="B333" s="17" t="s">
        <v>7240</v>
      </c>
      <c r="C333" s="20">
        <v>1</v>
      </c>
      <c r="D333" s="18">
        <v>69</v>
      </c>
      <c r="E333" s="20">
        <v>2321801</v>
      </c>
      <c r="F333" s="17" t="s">
        <v>63</v>
      </c>
      <c r="G333" s="19" t="s">
        <v>101</v>
      </c>
      <c r="H333" s="18">
        <v>10.666666666666668</v>
      </c>
      <c r="I333" s="17" t="s">
        <v>80</v>
      </c>
      <c r="J333" s="17" t="s">
        <v>293</v>
      </c>
      <c r="K333" s="17"/>
      <c r="L333" s="17"/>
      <c r="M333" s="16" t="str">
        <f>HYPERLINK("http://slimages.macys.com/is/image/MCY/19424245 ")</f>
        <v xml:space="preserve">http://slimages.macys.com/is/image/MCY/19424245 </v>
      </c>
      <c r="N333" s="30"/>
    </row>
    <row r="334" spans="1:14" ht="60" x14ac:dyDescent="0.25">
      <c r="A334" s="19" t="s">
        <v>7239</v>
      </c>
      <c r="B334" s="17" t="s">
        <v>7238</v>
      </c>
      <c r="C334" s="20">
        <v>1</v>
      </c>
      <c r="D334" s="18">
        <v>79</v>
      </c>
      <c r="E334" s="20">
        <v>9221072</v>
      </c>
      <c r="F334" s="17" t="s">
        <v>75</v>
      </c>
      <c r="G334" s="19" t="s">
        <v>271</v>
      </c>
      <c r="H334" s="18">
        <v>10.533333333333335</v>
      </c>
      <c r="I334" s="17" t="s">
        <v>138</v>
      </c>
      <c r="J334" s="17" t="s">
        <v>137</v>
      </c>
      <c r="K334" s="17"/>
      <c r="L334" s="17"/>
      <c r="M334" s="16" t="str">
        <f>HYPERLINK("http://slimages.macys.com/is/image/MCY/18686379 ")</f>
        <v xml:space="preserve">http://slimages.macys.com/is/image/MCY/18686379 </v>
      </c>
      <c r="N334" s="30"/>
    </row>
    <row r="335" spans="1:14" ht="60" x14ac:dyDescent="0.25">
      <c r="A335" s="19" t="s">
        <v>7237</v>
      </c>
      <c r="B335" s="17" t="s">
        <v>7236</v>
      </c>
      <c r="C335" s="20">
        <v>2</v>
      </c>
      <c r="D335" s="18">
        <v>49.5</v>
      </c>
      <c r="E335" s="20" t="s">
        <v>3433</v>
      </c>
      <c r="F335" s="17" t="s">
        <v>85</v>
      </c>
      <c r="G335" s="19" t="s">
        <v>57</v>
      </c>
      <c r="H335" s="18">
        <v>10.5</v>
      </c>
      <c r="I335" s="17" t="s">
        <v>80</v>
      </c>
      <c r="J335" s="17" t="s">
        <v>531</v>
      </c>
      <c r="K335" s="17"/>
      <c r="L335" s="17"/>
      <c r="M335" s="16" t="str">
        <f>HYPERLINK("http://slimages.macys.com/is/image/MCY/18364454 ")</f>
        <v xml:space="preserve">http://slimages.macys.com/is/image/MCY/18364454 </v>
      </c>
      <c r="N335" s="30"/>
    </row>
    <row r="336" spans="1:14" ht="60" x14ac:dyDescent="0.25">
      <c r="A336" s="19" t="s">
        <v>7235</v>
      </c>
      <c r="B336" s="17" t="s">
        <v>7234</v>
      </c>
      <c r="C336" s="20">
        <v>6</v>
      </c>
      <c r="D336" s="18">
        <v>49.5</v>
      </c>
      <c r="E336" s="20" t="s">
        <v>3433</v>
      </c>
      <c r="F336" s="17" t="s">
        <v>28</v>
      </c>
      <c r="G336" s="19" t="s">
        <v>74</v>
      </c>
      <c r="H336" s="18">
        <v>10.5</v>
      </c>
      <c r="I336" s="17" t="s">
        <v>80</v>
      </c>
      <c r="J336" s="17" t="s">
        <v>531</v>
      </c>
      <c r="K336" s="17"/>
      <c r="L336" s="17"/>
      <c r="M336" s="16" t="str">
        <f>HYPERLINK("http://slimages.macys.com/is/image/MCY/18364454 ")</f>
        <v xml:space="preserve">http://slimages.macys.com/is/image/MCY/18364454 </v>
      </c>
      <c r="N336" s="30"/>
    </row>
    <row r="337" spans="1:14" ht="60" x14ac:dyDescent="0.25">
      <c r="A337" s="19" t="s">
        <v>7233</v>
      </c>
      <c r="B337" s="17" t="s">
        <v>7232</v>
      </c>
      <c r="C337" s="20">
        <v>1</v>
      </c>
      <c r="D337" s="18">
        <v>54.5</v>
      </c>
      <c r="E337" s="20" t="s">
        <v>7231</v>
      </c>
      <c r="F337" s="17" t="s">
        <v>51</v>
      </c>
      <c r="G337" s="19" t="s">
        <v>139</v>
      </c>
      <c r="H337" s="18">
        <v>10.353333333333333</v>
      </c>
      <c r="I337" s="17" t="s">
        <v>540</v>
      </c>
      <c r="J337" s="17" t="s">
        <v>105</v>
      </c>
      <c r="K337" s="17"/>
      <c r="L337" s="17"/>
      <c r="M337" s="16" t="str">
        <f>HYPERLINK("http://slimages.macys.com/is/image/MCY/18889895 ")</f>
        <v xml:space="preserve">http://slimages.macys.com/is/image/MCY/18889895 </v>
      </c>
      <c r="N337" s="30"/>
    </row>
    <row r="338" spans="1:14" ht="60" x14ac:dyDescent="0.25">
      <c r="A338" s="19" t="s">
        <v>6409</v>
      </c>
      <c r="B338" s="17" t="s">
        <v>6408</v>
      </c>
      <c r="C338" s="20">
        <v>1</v>
      </c>
      <c r="D338" s="18">
        <v>54.5</v>
      </c>
      <c r="E338" s="20" t="s">
        <v>1832</v>
      </c>
      <c r="F338" s="17" t="s">
        <v>535</v>
      </c>
      <c r="G338" s="19" t="s">
        <v>898</v>
      </c>
      <c r="H338" s="18">
        <v>10.266666666666667</v>
      </c>
      <c r="I338" s="17" t="s">
        <v>68</v>
      </c>
      <c r="J338" s="17" t="s">
        <v>67</v>
      </c>
      <c r="K338" s="17" t="s">
        <v>389</v>
      </c>
      <c r="L338" s="17" t="s">
        <v>1804</v>
      </c>
      <c r="M338" s="16" t="str">
        <f>HYPERLINK("http://slimages.macys.com/is/image/MCY/1929248 ")</f>
        <v xml:space="preserve">http://slimages.macys.com/is/image/MCY/1929248 </v>
      </c>
      <c r="N338" s="30"/>
    </row>
    <row r="339" spans="1:14" ht="60" x14ac:dyDescent="0.25">
      <c r="A339" s="19" t="s">
        <v>7230</v>
      </c>
      <c r="B339" s="17" t="s">
        <v>7229</v>
      </c>
      <c r="C339" s="20">
        <v>1</v>
      </c>
      <c r="D339" s="18">
        <v>69</v>
      </c>
      <c r="E339" s="20">
        <v>2360616</v>
      </c>
      <c r="F339" s="17" t="s">
        <v>23</v>
      </c>
      <c r="G339" s="19" t="s">
        <v>22</v>
      </c>
      <c r="H339" s="18">
        <v>10.213333333333335</v>
      </c>
      <c r="I339" s="17" t="s">
        <v>80</v>
      </c>
      <c r="J339" s="17" t="s">
        <v>293</v>
      </c>
      <c r="K339" s="17"/>
      <c r="L339" s="17"/>
      <c r="M339" s="16" t="str">
        <f>HYPERLINK("http://slimages.macys.com/is/image/MCY/18336476 ")</f>
        <v xml:space="preserve">http://slimages.macys.com/is/image/MCY/18336476 </v>
      </c>
      <c r="N339" s="30"/>
    </row>
    <row r="340" spans="1:14" ht="60" x14ac:dyDescent="0.25">
      <c r="A340" s="19" t="s">
        <v>7228</v>
      </c>
      <c r="B340" s="17" t="s">
        <v>7227</v>
      </c>
      <c r="C340" s="20">
        <v>1</v>
      </c>
      <c r="D340" s="18">
        <v>69</v>
      </c>
      <c r="E340" s="20">
        <v>2321302</v>
      </c>
      <c r="F340" s="17" t="s">
        <v>70</v>
      </c>
      <c r="G340" s="19" t="s">
        <v>857</v>
      </c>
      <c r="H340" s="18">
        <v>10.120000000000001</v>
      </c>
      <c r="I340" s="17" t="s">
        <v>80</v>
      </c>
      <c r="J340" s="17" t="s">
        <v>293</v>
      </c>
      <c r="K340" s="17"/>
      <c r="L340" s="17"/>
      <c r="M340" s="16" t="str">
        <f>HYPERLINK("http://slimages.macys.com/is/image/MCY/18968704 ")</f>
        <v xml:space="preserve">http://slimages.macys.com/is/image/MCY/18968704 </v>
      </c>
      <c r="N340" s="30"/>
    </row>
    <row r="341" spans="1:14" ht="60" x14ac:dyDescent="0.25">
      <c r="A341" s="19" t="s">
        <v>7226</v>
      </c>
      <c r="B341" s="17" t="s">
        <v>7225</v>
      </c>
      <c r="C341" s="20">
        <v>1</v>
      </c>
      <c r="D341" s="18">
        <v>54</v>
      </c>
      <c r="E341" s="20" t="s">
        <v>7224</v>
      </c>
      <c r="F341" s="17" t="s">
        <v>140</v>
      </c>
      <c r="G341" s="19"/>
      <c r="H341" s="18">
        <v>10.08</v>
      </c>
      <c r="I341" s="17" t="s">
        <v>80</v>
      </c>
      <c r="J341" s="17" t="s">
        <v>183</v>
      </c>
      <c r="K341" s="17"/>
      <c r="L341" s="17"/>
      <c r="M341" s="16" t="str">
        <f>HYPERLINK("http://slimages.macys.com/is/image/MCY/18941001 ")</f>
        <v xml:space="preserve">http://slimages.macys.com/is/image/MCY/18941001 </v>
      </c>
      <c r="N341" s="30"/>
    </row>
    <row r="342" spans="1:14" ht="60" x14ac:dyDescent="0.25">
      <c r="A342" s="19" t="s">
        <v>7223</v>
      </c>
      <c r="B342" s="17" t="s">
        <v>7222</v>
      </c>
      <c r="C342" s="20">
        <v>1</v>
      </c>
      <c r="D342" s="18">
        <v>69</v>
      </c>
      <c r="E342" s="20">
        <v>2321703</v>
      </c>
      <c r="F342" s="17" t="s">
        <v>91</v>
      </c>
      <c r="G342" s="19" t="s">
        <v>22</v>
      </c>
      <c r="H342" s="18">
        <v>10</v>
      </c>
      <c r="I342" s="17" t="s">
        <v>80</v>
      </c>
      <c r="J342" s="17" t="s">
        <v>293</v>
      </c>
      <c r="K342" s="17"/>
      <c r="L342" s="17"/>
      <c r="M342" s="16" t="str">
        <f>HYPERLINK("http://slimages.macys.com/is/image/MCY/18917748 ")</f>
        <v xml:space="preserve">http://slimages.macys.com/is/image/MCY/18917748 </v>
      </c>
      <c r="N342" s="30"/>
    </row>
    <row r="343" spans="1:14" ht="60" x14ac:dyDescent="0.25">
      <c r="A343" s="19" t="s">
        <v>7221</v>
      </c>
      <c r="B343" s="17" t="s">
        <v>7220</v>
      </c>
      <c r="C343" s="20">
        <v>1</v>
      </c>
      <c r="D343" s="18">
        <v>59</v>
      </c>
      <c r="E343" s="20">
        <v>2331300</v>
      </c>
      <c r="F343" s="17" t="s">
        <v>23</v>
      </c>
      <c r="G343" s="19" t="s">
        <v>50</v>
      </c>
      <c r="H343" s="18">
        <v>10</v>
      </c>
      <c r="I343" s="17" t="s">
        <v>80</v>
      </c>
      <c r="J343" s="17" t="s">
        <v>293</v>
      </c>
      <c r="K343" s="17"/>
      <c r="L343" s="17"/>
      <c r="M343" s="16" t="str">
        <f>HYPERLINK("http://slimages.macys.com/is/image/MCY/19109825 ")</f>
        <v xml:space="preserve">http://slimages.macys.com/is/image/MCY/19109825 </v>
      </c>
      <c r="N343" s="30"/>
    </row>
    <row r="344" spans="1:14" ht="60" x14ac:dyDescent="0.25">
      <c r="A344" s="19" t="s">
        <v>7219</v>
      </c>
      <c r="B344" s="17" t="s">
        <v>7218</v>
      </c>
      <c r="C344" s="20">
        <v>1</v>
      </c>
      <c r="D344" s="18">
        <v>59</v>
      </c>
      <c r="E344" s="20">
        <v>2331020</v>
      </c>
      <c r="F344" s="17" t="s">
        <v>63</v>
      </c>
      <c r="G344" s="19" t="s">
        <v>62</v>
      </c>
      <c r="H344" s="18">
        <v>10</v>
      </c>
      <c r="I344" s="17" t="s">
        <v>80</v>
      </c>
      <c r="J344" s="17" t="s">
        <v>293</v>
      </c>
      <c r="K344" s="17"/>
      <c r="L344" s="17"/>
      <c r="M344" s="16" t="str">
        <f>HYPERLINK("http://slimages.macys.com/is/image/MCY/19225981 ")</f>
        <v xml:space="preserve">http://slimages.macys.com/is/image/MCY/19225981 </v>
      </c>
      <c r="N344" s="30"/>
    </row>
    <row r="345" spans="1:14" ht="60" x14ac:dyDescent="0.25">
      <c r="A345" s="19" t="s">
        <v>7217</v>
      </c>
      <c r="B345" s="17" t="s">
        <v>7216</v>
      </c>
      <c r="C345" s="20">
        <v>1</v>
      </c>
      <c r="D345" s="18">
        <v>59</v>
      </c>
      <c r="E345" s="20">
        <v>2331020</v>
      </c>
      <c r="F345" s="17" t="s">
        <v>23</v>
      </c>
      <c r="G345" s="19" t="s">
        <v>43</v>
      </c>
      <c r="H345" s="18">
        <v>10</v>
      </c>
      <c r="I345" s="17" t="s">
        <v>80</v>
      </c>
      <c r="J345" s="17" t="s">
        <v>293</v>
      </c>
      <c r="K345" s="17"/>
      <c r="L345" s="17"/>
      <c r="M345" s="16" t="str">
        <f>HYPERLINK("http://slimages.macys.com/is/image/MCY/19225981 ")</f>
        <v xml:space="preserve">http://slimages.macys.com/is/image/MCY/19225981 </v>
      </c>
      <c r="N345" s="30"/>
    </row>
    <row r="346" spans="1:14" ht="60" x14ac:dyDescent="0.25">
      <c r="A346" s="19" t="s">
        <v>7215</v>
      </c>
      <c r="B346" s="17" t="s">
        <v>7214</v>
      </c>
      <c r="C346" s="20">
        <v>1</v>
      </c>
      <c r="D346" s="18">
        <v>69</v>
      </c>
      <c r="E346" s="20">
        <v>2321007</v>
      </c>
      <c r="F346" s="17" t="s">
        <v>70</v>
      </c>
      <c r="G346" s="19" t="s">
        <v>101</v>
      </c>
      <c r="H346" s="18">
        <v>10</v>
      </c>
      <c r="I346" s="17" t="s">
        <v>80</v>
      </c>
      <c r="J346" s="17" t="s">
        <v>293</v>
      </c>
      <c r="K346" s="17"/>
      <c r="L346" s="17"/>
      <c r="M346" s="16" t="str">
        <f>HYPERLINK("http://slimages.macys.com/is/image/MCY/19147763 ")</f>
        <v xml:space="preserve">http://slimages.macys.com/is/image/MCY/19147763 </v>
      </c>
      <c r="N346" s="30"/>
    </row>
    <row r="347" spans="1:14" ht="60" x14ac:dyDescent="0.25">
      <c r="A347" s="19" t="s">
        <v>7213</v>
      </c>
      <c r="B347" s="17" t="s">
        <v>7212</v>
      </c>
      <c r="C347" s="20">
        <v>1</v>
      </c>
      <c r="D347" s="18">
        <v>54.5</v>
      </c>
      <c r="E347" s="20" t="s">
        <v>1827</v>
      </c>
      <c r="F347" s="17" t="s">
        <v>140</v>
      </c>
      <c r="G347" s="19" t="s">
        <v>139</v>
      </c>
      <c r="H347" s="18">
        <v>9.9933333333333341</v>
      </c>
      <c r="I347" s="17" t="s">
        <v>267</v>
      </c>
      <c r="J347" s="17" t="s">
        <v>32</v>
      </c>
      <c r="K347" s="17"/>
      <c r="L347" s="17"/>
      <c r="M347" s="16" t="str">
        <f>HYPERLINK("http://slimages.macys.com/is/image/MCY/19124153 ")</f>
        <v xml:space="preserve">http://slimages.macys.com/is/image/MCY/19124153 </v>
      </c>
      <c r="N347" s="30"/>
    </row>
    <row r="348" spans="1:14" ht="60" x14ac:dyDescent="0.25">
      <c r="A348" s="19" t="s">
        <v>1829</v>
      </c>
      <c r="B348" s="17" t="s">
        <v>1828</v>
      </c>
      <c r="C348" s="20">
        <v>1</v>
      </c>
      <c r="D348" s="18">
        <v>54.5</v>
      </c>
      <c r="E348" s="20" t="s">
        <v>1827</v>
      </c>
      <c r="F348" s="17" t="s">
        <v>140</v>
      </c>
      <c r="G348" s="19" t="s">
        <v>271</v>
      </c>
      <c r="H348" s="18">
        <v>9.9933333333333341</v>
      </c>
      <c r="I348" s="17" t="s">
        <v>267</v>
      </c>
      <c r="J348" s="17" t="s">
        <v>32</v>
      </c>
      <c r="K348" s="17"/>
      <c r="L348" s="17"/>
      <c r="M348" s="16" t="str">
        <f>HYPERLINK("http://slimages.macys.com/is/image/MCY/19124153 ")</f>
        <v xml:space="preserve">http://slimages.macys.com/is/image/MCY/19124153 </v>
      </c>
      <c r="N348" s="30"/>
    </row>
    <row r="349" spans="1:14" ht="60" x14ac:dyDescent="0.25">
      <c r="A349" s="19" t="s">
        <v>7211</v>
      </c>
      <c r="B349" s="17" t="s">
        <v>7210</v>
      </c>
      <c r="C349" s="20">
        <v>1</v>
      </c>
      <c r="D349" s="18">
        <v>44</v>
      </c>
      <c r="E349" s="20" t="s">
        <v>7209</v>
      </c>
      <c r="F349" s="17" t="s">
        <v>35</v>
      </c>
      <c r="G349" s="19" t="s">
        <v>17</v>
      </c>
      <c r="H349" s="18">
        <v>9.8533333333333335</v>
      </c>
      <c r="I349" s="17" t="s">
        <v>49</v>
      </c>
      <c r="J349" s="17" t="s">
        <v>48</v>
      </c>
      <c r="K349" s="17"/>
      <c r="L349" s="17"/>
      <c r="M349" s="16" t="str">
        <f>HYPERLINK("http://slimages.macys.com/is/image/MCY/20060508 ")</f>
        <v xml:space="preserve">http://slimages.macys.com/is/image/MCY/20060508 </v>
      </c>
      <c r="N349" s="30"/>
    </row>
    <row r="350" spans="1:14" ht="60" x14ac:dyDescent="0.25">
      <c r="A350" s="19" t="s">
        <v>7208</v>
      </c>
      <c r="B350" s="17" t="s">
        <v>7207</v>
      </c>
      <c r="C350" s="20">
        <v>1</v>
      </c>
      <c r="D350" s="18">
        <v>69</v>
      </c>
      <c r="E350" s="20" t="s">
        <v>1816</v>
      </c>
      <c r="F350" s="17" t="s">
        <v>345</v>
      </c>
      <c r="G350" s="19" t="s">
        <v>62</v>
      </c>
      <c r="H350" s="18">
        <v>9.8000000000000007</v>
      </c>
      <c r="I350" s="17" t="s">
        <v>405</v>
      </c>
      <c r="J350" s="17" t="s">
        <v>404</v>
      </c>
      <c r="K350" s="17" t="s">
        <v>389</v>
      </c>
      <c r="L350" s="17" t="s">
        <v>1359</v>
      </c>
      <c r="M350" s="16" t="str">
        <f>HYPERLINK("http://slimages.macys.com/is/image/MCY/18636354 ")</f>
        <v xml:space="preserve">http://slimages.macys.com/is/image/MCY/18636354 </v>
      </c>
      <c r="N350" s="30"/>
    </row>
    <row r="351" spans="1:14" ht="60" x14ac:dyDescent="0.25">
      <c r="A351" s="19" t="s">
        <v>7206</v>
      </c>
      <c r="B351" s="17" t="s">
        <v>7205</v>
      </c>
      <c r="C351" s="20">
        <v>1</v>
      </c>
      <c r="D351" s="18">
        <v>49</v>
      </c>
      <c r="E351" s="20">
        <v>10804586</v>
      </c>
      <c r="F351" s="17" t="s">
        <v>282</v>
      </c>
      <c r="G351" s="19" t="s">
        <v>139</v>
      </c>
      <c r="H351" s="18">
        <v>9.8000000000000007</v>
      </c>
      <c r="I351" s="17" t="s">
        <v>358</v>
      </c>
      <c r="J351" s="17" t="s">
        <v>554</v>
      </c>
      <c r="K351" s="17"/>
      <c r="L351" s="17"/>
      <c r="M351" s="16" t="str">
        <f>HYPERLINK("http://slimages.macys.com/is/image/MCY/18874177 ")</f>
        <v xml:space="preserve">http://slimages.macys.com/is/image/MCY/18874177 </v>
      </c>
      <c r="N351" s="30"/>
    </row>
    <row r="352" spans="1:14" ht="60" x14ac:dyDescent="0.25">
      <c r="A352" s="19" t="s">
        <v>7204</v>
      </c>
      <c r="B352" s="17" t="s">
        <v>7203</v>
      </c>
      <c r="C352" s="20">
        <v>1</v>
      </c>
      <c r="D352" s="18">
        <v>49</v>
      </c>
      <c r="E352" s="20" t="s">
        <v>7202</v>
      </c>
      <c r="F352" s="17" t="s">
        <v>544</v>
      </c>
      <c r="G352" s="19" t="s">
        <v>62</v>
      </c>
      <c r="H352" s="18">
        <v>9.8000000000000007</v>
      </c>
      <c r="I352" s="17" t="s">
        <v>678</v>
      </c>
      <c r="J352" s="17" t="s">
        <v>404</v>
      </c>
      <c r="K352" s="17"/>
      <c r="L352" s="17"/>
      <c r="M352" s="16" t="str">
        <f>HYPERLINK("http://slimages.macys.com/is/image/MCY/19100962 ")</f>
        <v xml:space="preserve">http://slimages.macys.com/is/image/MCY/19100962 </v>
      </c>
      <c r="N352" s="30"/>
    </row>
    <row r="353" spans="1:14" ht="60" x14ac:dyDescent="0.25">
      <c r="A353" s="19" t="s">
        <v>7201</v>
      </c>
      <c r="B353" s="17" t="s">
        <v>7200</v>
      </c>
      <c r="C353" s="20">
        <v>1</v>
      </c>
      <c r="D353" s="18">
        <v>40</v>
      </c>
      <c r="E353" s="20" t="s">
        <v>5624</v>
      </c>
      <c r="F353" s="17"/>
      <c r="G353" s="19" t="s">
        <v>3090</v>
      </c>
      <c r="H353" s="18">
        <v>9.6666666666666661</v>
      </c>
      <c r="I353" s="17" t="s">
        <v>80</v>
      </c>
      <c r="J353" s="17" t="s">
        <v>187</v>
      </c>
      <c r="K353" s="17"/>
      <c r="L353" s="17"/>
      <c r="M353" s="16" t="str">
        <f>HYPERLINK("http://slimages.macys.com/is/image/MCY/16577605 ")</f>
        <v xml:space="preserve">http://slimages.macys.com/is/image/MCY/16577605 </v>
      </c>
      <c r="N353" s="30"/>
    </row>
    <row r="354" spans="1:14" ht="60" x14ac:dyDescent="0.25">
      <c r="A354" s="19" t="s">
        <v>5622</v>
      </c>
      <c r="B354" s="17" t="s">
        <v>5621</v>
      </c>
      <c r="C354" s="20">
        <v>1</v>
      </c>
      <c r="D354" s="18">
        <v>49.5</v>
      </c>
      <c r="E354" s="20" t="s">
        <v>5620</v>
      </c>
      <c r="F354" s="17" t="s">
        <v>23</v>
      </c>
      <c r="G354" s="19" t="s">
        <v>271</v>
      </c>
      <c r="H354" s="18">
        <v>9.4066666666666681</v>
      </c>
      <c r="I354" s="17" t="s">
        <v>540</v>
      </c>
      <c r="J354" s="17" t="s">
        <v>105</v>
      </c>
      <c r="K354" s="17"/>
      <c r="L354" s="17"/>
      <c r="M354" s="16" t="str">
        <f>HYPERLINK("http://slimages.macys.com/is/image/MCY/18890060 ")</f>
        <v xml:space="preserve">http://slimages.macys.com/is/image/MCY/18890060 </v>
      </c>
      <c r="N354" s="30"/>
    </row>
    <row r="355" spans="1:14" ht="60" x14ac:dyDescent="0.25">
      <c r="A355" s="19" t="s">
        <v>7199</v>
      </c>
      <c r="B355" s="17" t="s">
        <v>7198</v>
      </c>
      <c r="C355" s="20">
        <v>1</v>
      </c>
      <c r="D355" s="18">
        <v>49</v>
      </c>
      <c r="E355" s="20">
        <v>2331003</v>
      </c>
      <c r="F355" s="17" t="s">
        <v>23</v>
      </c>
      <c r="G355" s="19" t="s">
        <v>17</v>
      </c>
      <c r="H355" s="18">
        <v>9.3333333333333339</v>
      </c>
      <c r="I355" s="17" t="s">
        <v>80</v>
      </c>
      <c r="J355" s="17" t="s">
        <v>293</v>
      </c>
      <c r="K355" s="17"/>
      <c r="L355" s="17"/>
      <c r="M355" s="16" t="str">
        <f>HYPERLINK("http://slimages.macys.com/is/image/MCY/19109771 ")</f>
        <v xml:space="preserve">http://slimages.macys.com/is/image/MCY/19109771 </v>
      </c>
      <c r="N355" s="30"/>
    </row>
    <row r="356" spans="1:14" ht="60" x14ac:dyDescent="0.25">
      <c r="A356" s="19" t="s">
        <v>7197</v>
      </c>
      <c r="B356" s="17" t="s">
        <v>7196</v>
      </c>
      <c r="C356" s="20">
        <v>1</v>
      </c>
      <c r="D356" s="18">
        <v>59</v>
      </c>
      <c r="E356" s="20">
        <v>2331830</v>
      </c>
      <c r="F356" s="17" t="s">
        <v>63</v>
      </c>
      <c r="G356" s="19" t="s">
        <v>50</v>
      </c>
      <c r="H356" s="18">
        <v>9.3333333333333339</v>
      </c>
      <c r="I356" s="17" t="s">
        <v>80</v>
      </c>
      <c r="J356" s="17" t="s">
        <v>293</v>
      </c>
      <c r="K356" s="17"/>
      <c r="L356" s="17"/>
      <c r="M356" s="16" t="str">
        <f>HYPERLINK("http://slimages.macys.com/is/image/MCY/19226187 ")</f>
        <v xml:space="preserve">http://slimages.macys.com/is/image/MCY/19226187 </v>
      </c>
      <c r="N356" s="30"/>
    </row>
    <row r="357" spans="1:14" ht="60" x14ac:dyDescent="0.25">
      <c r="A357" s="19" t="s">
        <v>7195</v>
      </c>
      <c r="B357" s="17" t="s">
        <v>7194</v>
      </c>
      <c r="C357" s="20">
        <v>1</v>
      </c>
      <c r="D357" s="18">
        <v>59</v>
      </c>
      <c r="E357" s="20">
        <v>2321607</v>
      </c>
      <c r="F357" s="17" t="s">
        <v>63</v>
      </c>
      <c r="G357" s="19" t="s">
        <v>313</v>
      </c>
      <c r="H357" s="18">
        <v>9.3333333333333339</v>
      </c>
      <c r="I357" s="17" t="s">
        <v>80</v>
      </c>
      <c r="J357" s="17" t="s">
        <v>293</v>
      </c>
      <c r="K357" s="17"/>
      <c r="L357" s="17"/>
      <c r="M357" s="16" t="str">
        <f>HYPERLINK("http://slimages.macys.com/is/image/MCY/18614899 ")</f>
        <v xml:space="preserve">http://slimages.macys.com/is/image/MCY/18614899 </v>
      </c>
      <c r="N357" s="30"/>
    </row>
    <row r="358" spans="1:14" ht="60" x14ac:dyDescent="0.25">
      <c r="A358" s="19" t="s">
        <v>7193</v>
      </c>
      <c r="B358" s="17" t="s">
        <v>7192</v>
      </c>
      <c r="C358" s="20">
        <v>1</v>
      </c>
      <c r="D358" s="18">
        <v>49</v>
      </c>
      <c r="E358" s="20">
        <v>2321303</v>
      </c>
      <c r="F358" s="17" t="s">
        <v>75</v>
      </c>
      <c r="G358" s="19" t="s">
        <v>1862</v>
      </c>
      <c r="H358" s="18">
        <v>9.3333333333333339</v>
      </c>
      <c r="I358" s="17" t="s">
        <v>80</v>
      </c>
      <c r="J358" s="17" t="s">
        <v>293</v>
      </c>
      <c r="K358" s="17"/>
      <c r="L358" s="17"/>
      <c r="M358" s="16" t="str">
        <f>HYPERLINK("http://slimages.macys.com/is/image/MCY/18749056 ")</f>
        <v xml:space="preserve">http://slimages.macys.com/is/image/MCY/18749056 </v>
      </c>
      <c r="N358" s="30"/>
    </row>
    <row r="359" spans="1:14" ht="60" x14ac:dyDescent="0.25">
      <c r="A359" s="19" t="s">
        <v>7191</v>
      </c>
      <c r="B359" s="17" t="s">
        <v>7190</v>
      </c>
      <c r="C359" s="20">
        <v>17</v>
      </c>
      <c r="D359" s="18">
        <v>49</v>
      </c>
      <c r="E359" s="20">
        <v>2321303</v>
      </c>
      <c r="F359" s="17" t="s">
        <v>91</v>
      </c>
      <c r="G359" s="19" t="s">
        <v>857</v>
      </c>
      <c r="H359" s="18">
        <v>9.3333333333333339</v>
      </c>
      <c r="I359" s="17" t="s">
        <v>80</v>
      </c>
      <c r="J359" s="17" t="s">
        <v>293</v>
      </c>
      <c r="K359" s="17"/>
      <c r="L359" s="17"/>
      <c r="M359" s="16" t="str">
        <f>HYPERLINK("http://slimages.macys.com/is/image/MCY/18749055 ")</f>
        <v xml:space="preserve">http://slimages.macys.com/is/image/MCY/18749055 </v>
      </c>
      <c r="N359" s="30"/>
    </row>
    <row r="360" spans="1:14" ht="60" x14ac:dyDescent="0.25">
      <c r="A360" s="19" t="s">
        <v>7189</v>
      </c>
      <c r="B360" s="17" t="s">
        <v>7188</v>
      </c>
      <c r="C360" s="20">
        <v>1</v>
      </c>
      <c r="D360" s="18">
        <v>41.3</v>
      </c>
      <c r="E360" s="20" t="s">
        <v>7187</v>
      </c>
      <c r="F360" s="17" t="s">
        <v>58</v>
      </c>
      <c r="G360" s="19" t="s">
        <v>2269</v>
      </c>
      <c r="H360" s="18">
        <v>9.3333333333333339</v>
      </c>
      <c r="I360" s="17" t="s">
        <v>42</v>
      </c>
      <c r="J360" s="17" t="s">
        <v>41</v>
      </c>
      <c r="K360" s="17"/>
      <c r="L360" s="17"/>
      <c r="M360" s="16" t="str">
        <f>HYPERLINK("http://slimages.macys.com/is/image/MCY/16838522 ")</f>
        <v xml:space="preserve">http://slimages.macys.com/is/image/MCY/16838522 </v>
      </c>
      <c r="N360" s="30"/>
    </row>
    <row r="361" spans="1:14" ht="60" x14ac:dyDescent="0.25">
      <c r="A361" s="19" t="s">
        <v>1809</v>
      </c>
      <c r="B361" s="17" t="s">
        <v>1808</v>
      </c>
      <c r="C361" s="20">
        <v>1</v>
      </c>
      <c r="D361" s="18">
        <v>69</v>
      </c>
      <c r="E361" s="20">
        <v>2321810</v>
      </c>
      <c r="F361" s="17" t="s">
        <v>91</v>
      </c>
      <c r="G361" s="19" t="s">
        <v>313</v>
      </c>
      <c r="H361" s="18">
        <v>9.3333333333333339</v>
      </c>
      <c r="I361" s="17" t="s">
        <v>80</v>
      </c>
      <c r="J361" s="17" t="s">
        <v>293</v>
      </c>
      <c r="K361" s="17"/>
      <c r="L361" s="17"/>
      <c r="M361" s="16" t="str">
        <f>HYPERLINK("http://slimages.macys.com/is/image/MCY/18749699 ")</f>
        <v xml:space="preserve">http://slimages.macys.com/is/image/MCY/18749699 </v>
      </c>
      <c r="N361" s="30"/>
    </row>
    <row r="362" spans="1:14" ht="60" x14ac:dyDescent="0.25">
      <c r="A362" s="19" t="s">
        <v>7186</v>
      </c>
      <c r="B362" s="17" t="s">
        <v>7185</v>
      </c>
      <c r="C362" s="20">
        <v>1</v>
      </c>
      <c r="D362" s="18">
        <v>49.5</v>
      </c>
      <c r="E362" s="20" t="s">
        <v>2539</v>
      </c>
      <c r="F362" s="17" t="s">
        <v>58</v>
      </c>
      <c r="G362" s="19" t="s">
        <v>271</v>
      </c>
      <c r="H362" s="18">
        <v>9.32</v>
      </c>
      <c r="I362" s="17" t="s">
        <v>1891</v>
      </c>
      <c r="J362" s="17" t="s">
        <v>2435</v>
      </c>
      <c r="K362" s="17"/>
      <c r="L362" s="17"/>
      <c r="M362" s="16" t="str">
        <f>HYPERLINK("http://slimages.macys.com/is/image/MCY/19046633 ")</f>
        <v xml:space="preserve">http://slimages.macys.com/is/image/MCY/19046633 </v>
      </c>
      <c r="N362" s="30"/>
    </row>
    <row r="363" spans="1:14" ht="60" x14ac:dyDescent="0.25">
      <c r="A363" s="19" t="s">
        <v>7184</v>
      </c>
      <c r="B363" s="17" t="s">
        <v>7183</v>
      </c>
      <c r="C363" s="20">
        <v>1</v>
      </c>
      <c r="D363" s="18">
        <v>49.5</v>
      </c>
      <c r="E363" s="20" t="s">
        <v>7182</v>
      </c>
      <c r="F363" s="17" t="s">
        <v>58</v>
      </c>
      <c r="G363" s="19" t="s">
        <v>57</v>
      </c>
      <c r="H363" s="18">
        <v>9.32</v>
      </c>
      <c r="I363" s="17" t="s">
        <v>56</v>
      </c>
      <c r="J363" s="17" t="s">
        <v>55</v>
      </c>
      <c r="K363" s="17"/>
      <c r="L363" s="17"/>
      <c r="M363" s="16" t="str">
        <f>HYPERLINK("http://slimages.macys.com/is/image/MCY/19183007 ")</f>
        <v xml:space="preserve">http://slimages.macys.com/is/image/MCY/19183007 </v>
      </c>
      <c r="N363" s="30"/>
    </row>
    <row r="364" spans="1:14" ht="60" x14ac:dyDescent="0.25">
      <c r="A364" s="19" t="s">
        <v>7181</v>
      </c>
      <c r="B364" s="17" t="s">
        <v>7180</v>
      </c>
      <c r="C364" s="20">
        <v>1</v>
      </c>
      <c r="D364" s="18">
        <v>49.5</v>
      </c>
      <c r="E364" s="20" t="s">
        <v>3384</v>
      </c>
      <c r="F364" s="17" t="s">
        <v>206</v>
      </c>
      <c r="G364" s="19" t="s">
        <v>74</v>
      </c>
      <c r="H364" s="18">
        <v>9.32</v>
      </c>
      <c r="I364" s="17" t="s">
        <v>68</v>
      </c>
      <c r="J364" s="17" t="s">
        <v>67</v>
      </c>
      <c r="K364" s="17"/>
      <c r="L364" s="17"/>
      <c r="M364" s="16" t="str">
        <f>HYPERLINK("http://slimages.macys.com/is/image/MCY/19179008 ")</f>
        <v xml:space="preserve">http://slimages.macys.com/is/image/MCY/19179008 </v>
      </c>
      <c r="N364" s="30"/>
    </row>
    <row r="365" spans="1:14" ht="60" x14ac:dyDescent="0.25">
      <c r="A365" s="19" t="s">
        <v>7179</v>
      </c>
      <c r="B365" s="17" t="s">
        <v>7178</v>
      </c>
      <c r="C365" s="20">
        <v>1</v>
      </c>
      <c r="D365" s="18">
        <v>49.5</v>
      </c>
      <c r="E365" s="20" t="s">
        <v>286</v>
      </c>
      <c r="F365" s="17" t="s">
        <v>23</v>
      </c>
      <c r="G365" s="19" t="s">
        <v>62</v>
      </c>
      <c r="H365" s="18">
        <v>9.32</v>
      </c>
      <c r="I365" s="17" t="s">
        <v>56</v>
      </c>
      <c r="J365" s="17" t="s">
        <v>55</v>
      </c>
      <c r="K365" s="17"/>
      <c r="L365" s="17"/>
      <c r="M365" s="16" t="str">
        <f>HYPERLINK("http://slimages.macys.com/is/image/MCY/16687495 ")</f>
        <v xml:space="preserve">http://slimages.macys.com/is/image/MCY/16687495 </v>
      </c>
      <c r="N365" s="30"/>
    </row>
    <row r="366" spans="1:14" ht="60" x14ac:dyDescent="0.25">
      <c r="A366" s="19" t="s">
        <v>7177</v>
      </c>
      <c r="B366" s="17" t="s">
        <v>7176</v>
      </c>
      <c r="C366" s="20">
        <v>1</v>
      </c>
      <c r="D366" s="18">
        <v>49.5</v>
      </c>
      <c r="E366" s="20" t="s">
        <v>7175</v>
      </c>
      <c r="F366" s="17" t="s">
        <v>23</v>
      </c>
      <c r="G366" s="19" t="s">
        <v>69</v>
      </c>
      <c r="H366" s="18">
        <v>9.32</v>
      </c>
      <c r="I366" s="17" t="s">
        <v>68</v>
      </c>
      <c r="J366" s="17" t="s">
        <v>67</v>
      </c>
      <c r="K366" s="17"/>
      <c r="L366" s="17"/>
      <c r="M366" s="16" t="str">
        <f>HYPERLINK("http://slimages.macys.com/is/image/MCY/19179922 ")</f>
        <v xml:space="preserve">http://slimages.macys.com/is/image/MCY/19179922 </v>
      </c>
      <c r="N366" s="30"/>
    </row>
    <row r="367" spans="1:14" ht="60" x14ac:dyDescent="0.25">
      <c r="A367" s="19" t="s">
        <v>7174</v>
      </c>
      <c r="B367" s="17" t="s">
        <v>7173</v>
      </c>
      <c r="C367" s="20">
        <v>1</v>
      </c>
      <c r="D367" s="18">
        <v>49.5</v>
      </c>
      <c r="E367" s="20" t="s">
        <v>3394</v>
      </c>
      <c r="F367" s="17" t="s">
        <v>63</v>
      </c>
      <c r="G367" s="19" t="s">
        <v>57</v>
      </c>
      <c r="H367" s="18">
        <v>9.32</v>
      </c>
      <c r="I367" s="17" t="s">
        <v>56</v>
      </c>
      <c r="J367" s="17" t="s">
        <v>55</v>
      </c>
      <c r="K367" s="17"/>
      <c r="L367" s="17"/>
      <c r="M367" s="16" t="str">
        <f>HYPERLINK("http://slimages.macys.com/is/image/MCY/19019681 ")</f>
        <v xml:space="preserve">http://slimages.macys.com/is/image/MCY/19019681 </v>
      </c>
      <c r="N367" s="30"/>
    </row>
    <row r="368" spans="1:14" ht="60" x14ac:dyDescent="0.25">
      <c r="A368" s="19" t="s">
        <v>7172</v>
      </c>
      <c r="B368" s="17" t="s">
        <v>7171</v>
      </c>
      <c r="C368" s="20">
        <v>1</v>
      </c>
      <c r="D368" s="18">
        <v>49.5</v>
      </c>
      <c r="E368" s="20" t="s">
        <v>3403</v>
      </c>
      <c r="F368" s="17" t="s">
        <v>23</v>
      </c>
      <c r="G368" s="19" t="s">
        <v>139</v>
      </c>
      <c r="H368" s="18">
        <v>9.32</v>
      </c>
      <c r="I368" s="17" t="s">
        <v>1891</v>
      </c>
      <c r="J368" s="17" t="s">
        <v>2435</v>
      </c>
      <c r="K368" s="17"/>
      <c r="L368" s="17"/>
      <c r="M368" s="16" t="str">
        <f>HYPERLINK("http://slimages.macys.com/is/image/MCY/19018261 ")</f>
        <v xml:space="preserve">http://slimages.macys.com/is/image/MCY/19018261 </v>
      </c>
      <c r="N368" s="30"/>
    </row>
    <row r="369" spans="1:14" ht="60" x14ac:dyDescent="0.25">
      <c r="A369" s="19" t="s">
        <v>5609</v>
      </c>
      <c r="B369" s="17" t="s">
        <v>5608</v>
      </c>
      <c r="C369" s="20">
        <v>1</v>
      </c>
      <c r="D369" s="18">
        <v>49.5</v>
      </c>
      <c r="E369" s="20" t="s">
        <v>3397</v>
      </c>
      <c r="F369" s="17" t="s">
        <v>58</v>
      </c>
      <c r="G369" s="19" t="s">
        <v>271</v>
      </c>
      <c r="H369" s="18">
        <v>9.32</v>
      </c>
      <c r="I369" s="17" t="s">
        <v>1891</v>
      </c>
      <c r="J369" s="17" t="s">
        <v>2435</v>
      </c>
      <c r="K369" s="17"/>
      <c r="L369" s="17"/>
      <c r="M369" s="16" t="str">
        <f>HYPERLINK("http://slimages.macys.com/is/image/MCY/19189840 ")</f>
        <v xml:space="preserve">http://slimages.macys.com/is/image/MCY/19189840 </v>
      </c>
      <c r="N369" s="30"/>
    </row>
    <row r="370" spans="1:14" ht="60" x14ac:dyDescent="0.25">
      <c r="A370" s="19" t="s">
        <v>7170</v>
      </c>
      <c r="B370" s="17" t="s">
        <v>7169</v>
      </c>
      <c r="C370" s="20">
        <v>1</v>
      </c>
      <c r="D370" s="18">
        <v>36.75</v>
      </c>
      <c r="E370" s="20" t="s">
        <v>7168</v>
      </c>
      <c r="F370" s="17" t="s">
        <v>23</v>
      </c>
      <c r="G370" s="19" t="s">
        <v>351</v>
      </c>
      <c r="H370" s="18">
        <v>9.2466666666666679</v>
      </c>
      <c r="I370" s="17" t="s">
        <v>358</v>
      </c>
      <c r="J370" s="17" t="s">
        <v>32</v>
      </c>
      <c r="K370" s="17"/>
      <c r="L370" s="17"/>
      <c r="M370" s="16" t="str">
        <f>HYPERLINK("http://slimages.macys.com/is/image/MCY/18294222 ")</f>
        <v xml:space="preserve">http://slimages.macys.com/is/image/MCY/18294222 </v>
      </c>
      <c r="N370" s="30"/>
    </row>
    <row r="371" spans="1:14" ht="60" x14ac:dyDescent="0.25">
      <c r="A371" s="19" t="s">
        <v>7167</v>
      </c>
      <c r="B371" s="17" t="s">
        <v>7166</v>
      </c>
      <c r="C371" s="20">
        <v>2</v>
      </c>
      <c r="D371" s="18">
        <v>49.5</v>
      </c>
      <c r="E371" s="20">
        <v>30112261</v>
      </c>
      <c r="F371" s="17" t="s">
        <v>28</v>
      </c>
      <c r="G371" s="19" t="s">
        <v>57</v>
      </c>
      <c r="H371" s="18">
        <v>9.24</v>
      </c>
      <c r="I371" s="17" t="s">
        <v>80</v>
      </c>
      <c r="J371" s="17" t="s">
        <v>513</v>
      </c>
      <c r="K371" s="17"/>
      <c r="L371" s="17"/>
      <c r="M371" s="16" t="str">
        <f>HYPERLINK("http://slimages.macys.com/is/image/MCY/17922817 ")</f>
        <v xml:space="preserve">http://slimages.macys.com/is/image/MCY/17922817 </v>
      </c>
      <c r="N371" s="30"/>
    </row>
    <row r="372" spans="1:14" ht="60" x14ac:dyDescent="0.25">
      <c r="A372" s="19" t="s">
        <v>7165</v>
      </c>
      <c r="B372" s="17" t="s">
        <v>7164</v>
      </c>
      <c r="C372" s="20">
        <v>1</v>
      </c>
      <c r="D372" s="18">
        <v>49.5</v>
      </c>
      <c r="E372" s="20" t="s">
        <v>3369</v>
      </c>
      <c r="F372" s="17" t="s">
        <v>272</v>
      </c>
      <c r="G372" s="19" t="s">
        <v>271</v>
      </c>
      <c r="H372" s="18">
        <v>9.0733333333333341</v>
      </c>
      <c r="I372" s="17" t="s">
        <v>267</v>
      </c>
      <c r="J372" s="17" t="s">
        <v>32</v>
      </c>
      <c r="K372" s="17"/>
      <c r="L372" s="17"/>
      <c r="M372" s="16" t="str">
        <f>HYPERLINK("http://slimages.macys.com/is/image/MCY/18747620 ")</f>
        <v xml:space="preserve">http://slimages.macys.com/is/image/MCY/18747620 </v>
      </c>
      <c r="N372" s="30"/>
    </row>
    <row r="373" spans="1:14" ht="60" x14ac:dyDescent="0.25">
      <c r="A373" s="19" t="s">
        <v>7163</v>
      </c>
      <c r="B373" s="17" t="s">
        <v>7162</v>
      </c>
      <c r="C373" s="20">
        <v>1</v>
      </c>
      <c r="D373" s="18">
        <v>49.5</v>
      </c>
      <c r="E373" s="20" t="s">
        <v>2576</v>
      </c>
      <c r="F373" s="17" t="s">
        <v>2575</v>
      </c>
      <c r="G373" s="19" t="s">
        <v>351</v>
      </c>
      <c r="H373" s="18">
        <v>9.0733333333333341</v>
      </c>
      <c r="I373" s="17" t="s">
        <v>267</v>
      </c>
      <c r="J373" s="17" t="s">
        <v>32</v>
      </c>
      <c r="K373" s="17"/>
      <c r="L373" s="17"/>
      <c r="M373" s="16" t="str">
        <f>HYPERLINK("http://slimages.macys.com/is/image/MCY/19267788 ")</f>
        <v xml:space="preserve">http://slimages.macys.com/is/image/MCY/19267788 </v>
      </c>
      <c r="N373" s="30"/>
    </row>
    <row r="374" spans="1:14" ht="60" x14ac:dyDescent="0.25">
      <c r="A374" s="19" t="s">
        <v>7161</v>
      </c>
      <c r="B374" s="17" t="s">
        <v>7160</v>
      </c>
      <c r="C374" s="20">
        <v>1</v>
      </c>
      <c r="D374" s="18">
        <v>49.5</v>
      </c>
      <c r="E374" s="20" t="s">
        <v>7159</v>
      </c>
      <c r="F374" s="17" t="s">
        <v>514</v>
      </c>
      <c r="G374" s="19" t="s">
        <v>139</v>
      </c>
      <c r="H374" s="18">
        <v>9.0733333333333341</v>
      </c>
      <c r="I374" s="17" t="s">
        <v>267</v>
      </c>
      <c r="J374" s="17" t="s">
        <v>32</v>
      </c>
      <c r="K374" s="17"/>
      <c r="L374" s="17"/>
      <c r="M374" s="16" t="str">
        <f>HYPERLINK("http://slimages.macys.com/is/image/MCY/19269068 ")</f>
        <v xml:space="preserve">http://slimages.macys.com/is/image/MCY/19269068 </v>
      </c>
      <c r="N374" s="30"/>
    </row>
    <row r="375" spans="1:14" ht="60" x14ac:dyDescent="0.25">
      <c r="A375" s="19" t="s">
        <v>7158</v>
      </c>
      <c r="B375" s="17" t="s">
        <v>7157</v>
      </c>
      <c r="C375" s="20">
        <v>2</v>
      </c>
      <c r="D375" s="18">
        <v>49.5</v>
      </c>
      <c r="E375" s="20" t="s">
        <v>2576</v>
      </c>
      <c r="F375" s="17" t="s">
        <v>85</v>
      </c>
      <c r="G375" s="19" t="s">
        <v>271</v>
      </c>
      <c r="H375" s="18">
        <v>9.0733333333333341</v>
      </c>
      <c r="I375" s="17" t="s">
        <v>267</v>
      </c>
      <c r="J375" s="17" t="s">
        <v>32</v>
      </c>
      <c r="K375" s="17"/>
      <c r="L375" s="17"/>
      <c r="M375" s="16" t="str">
        <f>HYPERLINK("http://slimages.macys.com/is/image/MCY/19267788 ")</f>
        <v xml:space="preserve">http://slimages.macys.com/is/image/MCY/19267788 </v>
      </c>
      <c r="N375" s="30"/>
    </row>
    <row r="376" spans="1:14" ht="60" x14ac:dyDescent="0.25">
      <c r="A376" s="19" t="s">
        <v>7156</v>
      </c>
      <c r="B376" s="17" t="s">
        <v>7155</v>
      </c>
      <c r="C376" s="20">
        <v>1</v>
      </c>
      <c r="D376" s="18">
        <v>59.5</v>
      </c>
      <c r="E376" s="20" t="s">
        <v>7154</v>
      </c>
      <c r="F376" s="17" t="s">
        <v>23</v>
      </c>
      <c r="G376" s="19" t="s">
        <v>658</v>
      </c>
      <c r="H376" s="18">
        <v>9.0666666666666682</v>
      </c>
      <c r="I376" s="17" t="s">
        <v>68</v>
      </c>
      <c r="J376" s="17" t="s">
        <v>67</v>
      </c>
      <c r="K376" s="17"/>
      <c r="L376" s="17"/>
      <c r="M376" s="16" t="str">
        <f>HYPERLINK("http://slimages.macys.com/is/image/MCY/19499825 ")</f>
        <v xml:space="preserve">http://slimages.macys.com/is/image/MCY/19499825 </v>
      </c>
      <c r="N376" s="30"/>
    </row>
    <row r="377" spans="1:14" ht="60" x14ac:dyDescent="0.25">
      <c r="A377" s="19" t="s">
        <v>7153</v>
      </c>
      <c r="B377" s="17" t="s">
        <v>7152</v>
      </c>
      <c r="C377" s="20">
        <v>1</v>
      </c>
      <c r="D377" s="18">
        <v>49</v>
      </c>
      <c r="E377" s="20" t="s">
        <v>7151</v>
      </c>
      <c r="F377" s="17" t="s">
        <v>23</v>
      </c>
      <c r="G377" s="19" t="s">
        <v>74</v>
      </c>
      <c r="H377" s="18">
        <v>9.0466666666666669</v>
      </c>
      <c r="I377" s="17" t="s">
        <v>405</v>
      </c>
      <c r="J377" s="17" t="s">
        <v>404</v>
      </c>
      <c r="K377" s="17"/>
      <c r="L377" s="17"/>
      <c r="M377" s="16" t="str">
        <f>HYPERLINK("http://slimages.macys.com/is/image/MCY/17417649 ")</f>
        <v xml:space="preserve">http://slimages.macys.com/is/image/MCY/17417649 </v>
      </c>
      <c r="N377" s="30"/>
    </row>
    <row r="378" spans="1:14" ht="60" x14ac:dyDescent="0.25">
      <c r="A378" s="19" t="s">
        <v>7150</v>
      </c>
      <c r="B378" s="17" t="s">
        <v>7149</v>
      </c>
      <c r="C378" s="20">
        <v>1</v>
      </c>
      <c r="D378" s="18">
        <v>34.299999999999997</v>
      </c>
      <c r="E378" s="20" t="s">
        <v>257</v>
      </c>
      <c r="F378" s="17" t="s">
        <v>23</v>
      </c>
      <c r="G378" s="19" t="s">
        <v>43</v>
      </c>
      <c r="H378" s="18">
        <v>8.9466666666666672</v>
      </c>
      <c r="I378" s="17" t="s">
        <v>42</v>
      </c>
      <c r="J378" s="17" t="s">
        <v>41</v>
      </c>
      <c r="K378" s="17"/>
      <c r="L378" s="17"/>
      <c r="M378" s="16" t="str">
        <f>HYPERLINK("http://slimages.macys.com/is/image/MCY/19112141 ")</f>
        <v xml:space="preserve">http://slimages.macys.com/is/image/MCY/19112141 </v>
      </c>
      <c r="N378" s="30"/>
    </row>
    <row r="379" spans="1:14" ht="60" x14ac:dyDescent="0.25">
      <c r="A379" s="19" t="s">
        <v>7148</v>
      </c>
      <c r="B379" s="17" t="s">
        <v>7147</v>
      </c>
      <c r="C379" s="20">
        <v>1</v>
      </c>
      <c r="D379" s="18">
        <v>34.299999999999997</v>
      </c>
      <c r="E379" s="20" t="s">
        <v>7146</v>
      </c>
      <c r="F379" s="17" t="s">
        <v>51</v>
      </c>
      <c r="G379" s="19" t="s">
        <v>43</v>
      </c>
      <c r="H379" s="18">
        <v>8.9466666666666672</v>
      </c>
      <c r="I379" s="17" t="s">
        <v>42</v>
      </c>
      <c r="J379" s="17" t="s">
        <v>41</v>
      </c>
      <c r="K379" s="17"/>
      <c r="L379" s="17"/>
      <c r="M379" s="16" t="str">
        <f>HYPERLINK("http://slimages.macys.com/is/image/MCY/18904033 ")</f>
        <v xml:space="preserve">http://slimages.macys.com/is/image/MCY/18904033 </v>
      </c>
      <c r="N379" s="30"/>
    </row>
    <row r="380" spans="1:14" ht="60" x14ac:dyDescent="0.25">
      <c r="A380" s="19" t="s">
        <v>7145</v>
      </c>
      <c r="B380" s="17" t="s">
        <v>7144</v>
      </c>
      <c r="C380" s="20">
        <v>1</v>
      </c>
      <c r="D380" s="18">
        <v>34.299999999999997</v>
      </c>
      <c r="E380" s="20" t="s">
        <v>7143</v>
      </c>
      <c r="F380" s="17" t="s">
        <v>58</v>
      </c>
      <c r="G380" s="19" t="s">
        <v>43</v>
      </c>
      <c r="H380" s="18">
        <v>8.9466666666666672</v>
      </c>
      <c r="I380" s="17" t="s">
        <v>42</v>
      </c>
      <c r="J380" s="17" t="s">
        <v>41</v>
      </c>
      <c r="K380" s="17"/>
      <c r="L380" s="17"/>
      <c r="M380" s="16" t="str">
        <f>HYPERLINK("http://slimages.macys.com/is/image/MCY/18545207 ")</f>
        <v xml:space="preserve">http://slimages.macys.com/is/image/MCY/18545207 </v>
      </c>
      <c r="N380" s="30"/>
    </row>
    <row r="381" spans="1:14" ht="60" x14ac:dyDescent="0.25">
      <c r="A381" s="19" t="s">
        <v>7142</v>
      </c>
      <c r="B381" s="17" t="s">
        <v>7141</v>
      </c>
      <c r="C381" s="20">
        <v>1</v>
      </c>
      <c r="D381" s="18">
        <v>35</v>
      </c>
      <c r="E381" s="20" t="s">
        <v>7136</v>
      </c>
      <c r="F381" s="17" t="s">
        <v>51</v>
      </c>
      <c r="G381" s="19" t="s">
        <v>101</v>
      </c>
      <c r="H381" s="18">
        <v>8.6933333333333334</v>
      </c>
      <c r="I381" s="17" t="s">
        <v>16</v>
      </c>
      <c r="J381" s="17" t="s">
        <v>15</v>
      </c>
      <c r="K381" s="17"/>
      <c r="L381" s="17"/>
      <c r="M381" s="16" t="str">
        <f>HYPERLINK("http://slimages.macys.com/is/image/MCY/18946514 ")</f>
        <v xml:space="preserve">http://slimages.macys.com/is/image/MCY/18946514 </v>
      </c>
      <c r="N381" s="30"/>
    </row>
    <row r="382" spans="1:14" ht="60" x14ac:dyDescent="0.25">
      <c r="A382" s="19" t="s">
        <v>5572</v>
      </c>
      <c r="B382" s="17" t="s">
        <v>5571</v>
      </c>
      <c r="C382" s="20">
        <v>2</v>
      </c>
      <c r="D382" s="18">
        <v>35</v>
      </c>
      <c r="E382" s="20" t="s">
        <v>5568</v>
      </c>
      <c r="F382" s="17" t="s">
        <v>1526</v>
      </c>
      <c r="G382" s="19" t="s">
        <v>17</v>
      </c>
      <c r="H382" s="18">
        <v>8.6933333333333334</v>
      </c>
      <c r="I382" s="17" t="s">
        <v>16</v>
      </c>
      <c r="J382" s="17" t="s">
        <v>15</v>
      </c>
      <c r="K382" s="17"/>
      <c r="L382" s="17"/>
      <c r="M382" s="16" t="str">
        <f>HYPERLINK("http://slimages.macys.com/is/image/MCY/19060615 ")</f>
        <v xml:space="preserve">http://slimages.macys.com/is/image/MCY/19060615 </v>
      </c>
      <c r="N382" s="30"/>
    </row>
    <row r="383" spans="1:14" ht="60" x14ac:dyDescent="0.25">
      <c r="A383" s="19" t="s">
        <v>7140</v>
      </c>
      <c r="B383" s="17" t="s">
        <v>7139</v>
      </c>
      <c r="C383" s="20">
        <v>9</v>
      </c>
      <c r="D383" s="18">
        <v>35</v>
      </c>
      <c r="E383" s="20" t="s">
        <v>5568</v>
      </c>
      <c r="F383" s="17" t="s">
        <v>1526</v>
      </c>
      <c r="G383" s="19" t="s">
        <v>22</v>
      </c>
      <c r="H383" s="18">
        <v>8.6933333333333334</v>
      </c>
      <c r="I383" s="17" t="s">
        <v>16</v>
      </c>
      <c r="J383" s="17" t="s">
        <v>15</v>
      </c>
      <c r="K383" s="17"/>
      <c r="L383" s="17"/>
      <c r="M383" s="16" t="str">
        <f>HYPERLINK("http://slimages.macys.com/is/image/MCY/19060615 ")</f>
        <v xml:space="preserve">http://slimages.macys.com/is/image/MCY/19060615 </v>
      </c>
      <c r="N383" s="30"/>
    </row>
    <row r="384" spans="1:14" ht="60" x14ac:dyDescent="0.25">
      <c r="A384" s="19" t="s">
        <v>7138</v>
      </c>
      <c r="B384" s="17" t="s">
        <v>7137</v>
      </c>
      <c r="C384" s="20">
        <v>1</v>
      </c>
      <c r="D384" s="18">
        <v>35</v>
      </c>
      <c r="E384" s="20" t="s">
        <v>7136</v>
      </c>
      <c r="F384" s="17" t="s">
        <v>51</v>
      </c>
      <c r="G384" s="19" t="s">
        <v>62</v>
      </c>
      <c r="H384" s="18">
        <v>8.6866666666666674</v>
      </c>
      <c r="I384" s="17" t="s">
        <v>16</v>
      </c>
      <c r="J384" s="17" t="s">
        <v>15</v>
      </c>
      <c r="K384" s="17"/>
      <c r="L384" s="17"/>
      <c r="M384" s="16" t="str">
        <f>HYPERLINK("http://slimages.macys.com/is/image/MCY/18946514 ")</f>
        <v xml:space="preserve">http://slimages.macys.com/is/image/MCY/18946514 </v>
      </c>
      <c r="N384" s="30"/>
    </row>
    <row r="385" spans="1:14" ht="60" x14ac:dyDescent="0.25">
      <c r="A385" s="19" t="s">
        <v>7135</v>
      </c>
      <c r="B385" s="17" t="s">
        <v>7134</v>
      </c>
      <c r="C385" s="20">
        <v>1</v>
      </c>
      <c r="D385" s="18">
        <v>39</v>
      </c>
      <c r="E385" s="20" t="s">
        <v>7133</v>
      </c>
      <c r="F385" s="17" t="s">
        <v>23</v>
      </c>
      <c r="G385" s="19" t="s">
        <v>17</v>
      </c>
      <c r="H385" s="18">
        <v>8.6066666666666674</v>
      </c>
      <c r="I385" s="17" t="s">
        <v>49</v>
      </c>
      <c r="J385" s="17" t="s">
        <v>48</v>
      </c>
      <c r="K385" s="17"/>
      <c r="L385" s="17"/>
      <c r="M385" s="16" t="str">
        <f>HYPERLINK("http://slimages.macys.com/is/image/MCY/18764953 ")</f>
        <v xml:space="preserve">http://slimages.macys.com/is/image/MCY/18764953 </v>
      </c>
      <c r="N385" s="30"/>
    </row>
    <row r="386" spans="1:14" ht="60" x14ac:dyDescent="0.25">
      <c r="A386" s="19" t="s">
        <v>7132</v>
      </c>
      <c r="B386" s="17" t="s">
        <v>7131</v>
      </c>
      <c r="C386" s="20">
        <v>1</v>
      </c>
      <c r="D386" s="18">
        <v>59</v>
      </c>
      <c r="E386" s="20">
        <v>2321803</v>
      </c>
      <c r="F386" s="17" t="s">
        <v>91</v>
      </c>
      <c r="G386" s="19" t="s">
        <v>62</v>
      </c>
      <c r="H386" s="18">
        <v>8.3333333333333339</v>
      </c>
      <c r="I386" s="17" t="s">
        <v>80</v>
      </c>
      <c r="J386" s="17" t="s">
        <v>293</v>
      </c>
      <c r="K386" s="17"/>
      <c r="L386" s="17"/>
      <c r="M386" s="16" t="str">
        <f>HYPERLINK("http://slimages.macys.com/is/image/MCY/19017939 ")</f>
        <v xml:space="preserve">http://slimages.macys.com/is/image/MCY/19017939 </v>
      </c>
      <c r="N386" s="30"/>
    </row>
    <row r="387" spans="1:14" ht="60" x14ac:dyDescent="0.25">
      <c r="A387" s="19" t="s">
        <v>7130</v>
      </c>
      <c r="B387" s="17" t="s">
        <v>7129</v>
      </c>
      <c r="C387" s="20">
        <v>1</v>
      </c>
      <c r="D387" s="18">
        <v>29.99</v>
      </c>
      <c r="E387" s="20" t="s">
        <v>243</v>
      </c>
      <c r="F387" s="17" t="s">
        <v>91</v>
      </c>
      <c r="G387" s="19" t="s">
        <v>74</v>
      </c>
      <c r="H387" s="18">
        <v>8.2200000000000006</v>
      </c>
      <c r="I387" s="17" t="s">
        <v>42</v>
      </c>
      <c r="J387" s="17" t="s">
        <v>41</v>
      </c>
      <c r="K387" s="17"/>
      <c r="L387" s="17"/>
      <c r="M387" s="16" t="str">
        <f>HYPERLINK("http://slimages.macys.com/is/image/MCY/19268874 ")</f>
        <v xml:space="preserve">http://slimages.macys.com/is/image/MCY/19268874 </v>
      </c>
      <c r="N387" s="30"/>
    </row>
    <row r="388" spans="1:14" ht="60" x14ac:dyDescent="0.25">
      <c r="A388" s="19" t="s">
        <v>7128</v>
      </c>
      <c r="B388" s="17" t="s">
        <v>7127</v>
      </c>
      <c r="C388" s="20">
        <v>1</v>
      </c>
      <c r="D388" s="18">
        <v>49</v>
      </c>
      <c r="E388" s="20" t="s">
        <v>4228</v>
      </c>
      <c r="F388" s="17" t="s">
        <v>578</v>
      </c>
      <c r="G388" s="19" t="s">
        <v>50</v>
      </c>
      <c r="H388" s="18">
        <v>8.1666666666666679</v>
      </c>
      <c r="I388" s="17" t="s">
        <v>129</v>
      </c>
      <c r="J388" s="17" t="s">
        <v>128</v>
      </c>
      <c r="K388" s="17"/>
      <c r="L388" s="17"/>
      <c r="M388" s="16" t="str">
        <f>HYPERLINK("http://slimages.macys.com/is/image/MCY/19146415 ")</f>
        <v xml:space="preserve">http://slimages.macys.com/is/image/MCY/19146415 </v>
      </c>
      <c r="N388" s="30"/>
    </row>
    <row r="389" spans="1:14" ht="60" x14ac:dyDescent="0.25">
      <c r="A389" s="19" t="s">
        <v>7126</v>
      </c>
      <c r="B389" s="17" t="s">
        <v>7125</v>
      </c>
      <c r="C389" s="20">
        <v>1</v>
      </c>
      <c r="D389" s="18">
        <v>30</v>
      </c>
      <c r="E389" s="20" t="s">
        <v>1032</v>
      </c>
      <c r="F389" s="17" t="s">
        <v>51</v>
      </c>
      <c r="G389" s="19" t="s">
        <v>17</v>
      </c>
      <c r="H389" s="18">
        <v>7.8666666666666663</v>
      </c>
      <c r="I389" s="17" t="s">
        <v>16</v>
      </c>
      <c r="J389" s="17" t="s">
        <v>15</v>
      </c>
      <c r="K389" s="17"/>
      <c r="L389" s="17"/>
      <c r="M389" s="16" t="str">
        <f>HYPERLINK("http://slimages.macys.com/is/image/MCY/19382853 ")</f>
        <v xml:space="preserve">http://slimages.macys.com/is/image/MCY/19382853 </v>
      </c>
      <c r="N389" s="30"/>
    </row>
    <row r="390" spans="1:14" ht="60" x14ac:dyDescent="0.25">
      <c r="A390" s="19" t="s">
        <v>7124</v>
      </c>
      <c r="B390" s="17" t="s">
        <v>7123</v>
      </c>
      <c r="C390" s="20">
        <v>1</v>
      </c>
      <c r="D390" s="18">
        <v>69</v>
      </c>
      <c r="E390" s="20">
        <v>2350220</v>
      </c>
      <c r="F390" s="17" t="s">
        <v>91</v>
      </c>
      <c r="G390" s="19" t="s">
        <v>50</v>
      </c>
      <c r="H390" s="18">
        <v>7.86</v>
      </c>
      <c r="I390" s="17" t="s">
        <v>80</v>
      </c>
      <c r="J390" s="17" t="s">
        <v>293</v>
      </c>
      <c r="K390" s="17"/>
      <c r="L390" s="17"/>
      <c r="M390" s="16" t="str">
        <f>HYPERLINK("http://slimages.macys.com/is/image/MCY/17838298 ")</f>
        <v xml:space="preserve">http://slimages.macys.com/is/image/MCY/17838298 </v>
      </c>
      <c r="N390" s="30"/>
    </row>
    <row r="391" spans="1:14" ht="60" x14ac:dyDescent="0.25">
      <c r="A391" s="19" t="s">
        <v>7122</v>
      </c>
      <c r="B391" s="17" t="s">
        <v>7121</v>
      </c>
      <c r="C391" s="20">
        <v>1</v>
      </c>
      <c r="D391" s="18">
        <v>42</v>
      </c>
      <c r="E391" s="20" t="s">
        <v>7120</v>
      </c>
      <c r="F391" s="17" t="s">
        <v>140</v>
      </c>
      <c r="G391" s="19"/>
      <c r="H391" s="18">
        <v>7.84</v>
      </c>
      <c r="I391" s="17" t="s">
        <v>80</v>
      </c>
      <c r="J391" s="17" t="s">
        <v>183</v>
      </c>
      <c r="K391" s="17"/>
      <c r="L391" s="17"/>
      <c r="M391" s="16" t="str">
        <f>HYPERLINK("http://slimages.macys.com/is/image/MCY/19062235 ")</f>
        <v xml:space="preserve">http://slimages.macys.com/is/image/MCY/19062235 </v>
      </c>
      <c r="N391" s="30"/>
    </row>
    <row r="392" spans="1:14" ht="60" x14ac:dyDescent="0.25">
      <c r="A392" s="19" t="s">
        <v>7119</v>
      </c>
      <c r="B392" s="17" t="s">
        <v>7118</v>
      </c>
      <c r="C392" s="20">
        <v>1</v>
      </c>
      <c r="D392" s="18">
        <v>49</v>
      </c>
      <c r="E392" s="20">
        <v>2399300</v>
      </c>
      <c r="F392" s="17" t="s">
        <v>23</v>
      </c>
      <c r="G392" s="19" t="s">
        <v>682</v>
      </c>
      <c r="H392" s="18">
        <v>7.8333333333333339</v>
      </c>
      <c r="I392" s="17" t="s">
        <v>80</v>
      </c>
      <c r="J392" s="17" t="s">
        <v>293</v>
      </c>
      <c r="K392" s="17"/>
      <c r="L392" s="17"/>
      <c r="M392" s="16" t="str">
        <f>HYPERLINK("http://slimages.macys.com/is/image/MCY/19295251 ")</f>
        <v xml:space="preserve">http://slimages.macys.com/is/image/MCY/19295251 </v>
      </c>
      <c r="N392" s="30"/>
    </row>
    <row r="393" spans="1:14" ht="60" x14ac:dyDescent="0.25">
      <c r="A393" s="19" t="s">
        <v>7117</v>
      </c>
      <c r="B393" s="17" t="s">
        <v>7116</v>
      </c>
      <c r="C393" s="20">
        <v>12</v>
      </c>
      <c r="D393" s="18">
        <v>40</v>
      </c>
      <c r="E393" s="20" t="s">
        <v>7115</v>
      </c>
      <c r="F393" s="17" t="s">
        <v>555</v>
      </c>
      <c r="G393" s="19" t="s">
        <v>22</v>
      </c>
      <c r="H393" s="18">
        <v>7.7866666666666662</v>
      </c>
      <c r="I393" s="17" t="s">
        <v>16</v>
      </c>
      <c r="J393" s="17" t="s">
        <v>15</v>
      </c>
      <c r="K393" s="17"/>
      <c r="L393" s="17"/>
      <c r="M393" s="16" t="str">
        <f>HYPERLINK("http://slimages.macys.com/is/image/MCY/18438411 ")</f>
        <v xml:space="preserve">http://slimages.macys.com/is/image/MCY/18438411 </v>
      </c>
      <c r="N393" s="30"/>
    </row>
    <row r="394" spans="1:14" ht="60" x14ac:dyDescent="0.25">
      <c r="A394" s="19" t="s">
        <v>7114</v>
      </c>
      <c r="B394" s="17" t="s">
        <v>7113</v>
      </c>
      <c r="C394" s="20">
        <v>1</v>
      </c>
      <c r="D394" s="18">
        <v>44</v>
      </c>
      <c r="E394" s="20">
        <v>30111871</v>
      </c>
      <c r="F394" s="17" t="s">
        <v>44</v>
      </c>
      <c r="G394" s="19" t="s">
        <v>69</v>
      </c>
      <c r="H394" s="18">
        <v>7.626666666666666</v>
      </c>
      <c r="I394" s="17" t="s">
        <v>1777</v>
      </c>
      <c r="J394" s="17" t="s">
        <v>1776</v>
      </c>
      <c r="K394" s="17"/>
      <c r="L394" s="17"/>
      <c r="M394" s="16" t="str">
        <f>HYPERLINK("http://slimages.macys.com/is/image/MCY/18375910 ")</f>
        <v xml:space="preserve">http://slimages.macys.com/is/image/MCY/18375910 </v>
      </c>
      <c r="N394" s="30"/>
    </row>
    <row r="395" spans="1:14" ht="60" x14ac:dyDescent="0.25">
      <c r="A395" s="19" t="s">
        <v>7112</v>
      </c>
      <c r="B395" s="17" t="s">
        <v>7111</v>
      </c>
      <c r="C395" s="20">
        <v>1</v>
      </c>
      <c r="D395" s="18">
        <v>49</v>
      </c>
      <c r="E395" s="20">
        <v>2331002</v>
      </c>
      <c r="F395" s="17" t="s">
        <v>23</v>
      </c>
      <c r="G395" s="19" t="s">
        <v>17</v>
      </c>
      <c r="H395" s="18">
        <v>7.5</v>
      </c>
      <c r="I395" s="17" t="s">
        <v>80</v>
      </c>
      <c r="J395" s="17" t="s">
        <v>293</v>
      </c>
      <c r="K395" s="17"/>
      <c r="L395" s="17"/>
      <c r="M395" s="16" t="str">
        <f>HYPERLINK("http://slimages.macys.com/is/image/MCY/19454909 ")</f>
        <v xml:space="preserve">http://slimages.macys.com/is/image/MCY/19454909 </v>
      </c>
      <c r="N395" s="30"/>
    </row>
    <row r="396" spans="1:14" ht="60" x14ac:dyDescent="0.25">
      <c r="A396" s="19" t="s">
        <v>7110</v>
      </c>
      <c r="B396" s="17" t="s">
        <v>7109</v>
      </c>
      <c r="C396" s="20">
        <v>1</v>
      </c>
      <c r="D396" s="18">
        <v>34</v>
      </c>
      <c r="E396" s="20" t="s">
        <v>217</v>
      </c>
      <c r="F396" s="17" t="s">
        <v>206</v>
      </c>
      <c r="G396" s="19" t="s">
        <v>50</v>
      </c>
      <c r="H396" s="18">
        <v>7.5</v>
      </c>
      <c r="I396" s="17" t="s">
        <v>49</v>
      </c>
      <c r="J396" s="17" t="s">
        <v>48</v>
      </c>
      <c r="K396" s="17"/>
      <c r="L396" s="17"/>
      <c r="M396" s="16" t="str">
        <f>HYPERLINK("http://slimages.macys.com/is/image/MCY/18983164 ")</f>
        <v xml:space="preserve">http://slimages.macys.com/is/image/MCY/18983164 </v>
      </c>
      <c r="N396" s="30"/>
    </row>
    <row r="397" spans="1:14" ht="60" x14ac:dyDescent="0.25">
      <c r="A397" s="19" t="s">
        <v>7108</v>
      </c>
      <c r="B397" s="17" t="s">
        <v>7107</v>
      </c>
      <c r="C397" s="20">
        <v>1</v>
      </c>
      <c r="D397" s="18">
        <v>39.5</v>
      </c>
      <c r="E397" s="20" t="s">
        <v>7106</v>
      </c>
      <c r="F397" s="17" t="s">
        <v>58</v>
      </c>
      <c r="G397" s="19" t="s">
        <v>197</v>
      </c>
      <c r="H397" s="18">
        <v>7.4400000000000013</v>
      </c>
      <c r="I397" s="17" t="s">
        <v>56</v>
      </c>
      <c r="J397" s="17" t="s">
        <v>55</v>
      </c>
      <c r="K397" s="17"/>
      <c r="L397" s="17"/>
      <c r="M397" s="16" t="str">
        <f>HYPERLINK("http://slimages.macys.com/is/image/MCY/19179715 ")</f>
        <v xml:space="preserve">http://slimages.macys.com/is/image/MCY/19179715 </v>
      </c>
      <c r="N397" s="30"/>
    </row>
    <row r="398" spans="1:14" ht="60" x14ac:dyDescent="0.25">
      <c r="A398" s="19" t="s">
        <v>1018</v>
      </c>
      <c r="B398" s="17" t="s">
        <v>1017</v>
      </c>
      <c r="C398" s="20">
        <v>1</v>
      </c>
      <c r="D398" s="18">
        <v>39.5</v>
      </c>
      <c r="E398" s="20" t="s">
        <v>213</v>
      </c>
      <c r="F398" s="17" t="s">
        <v>23</v>
      </c>
      <c r="G398" s="19" t="s">
        <v>74</v>
      </c>
      <c r="H398" s="18">
        <v>7.4400000000000013</v>
      </c>
      <c r="I398" s="17" t="s">
        <v>56</v>
      </c>
      <c r="J398" s="17" t="s">
        <v>55</v>
      </c>
      <c r="K398" s="17"/>
      <c r="L398" s="17"/>
      <c r="M398" s="16" t="str">
        <f>HYPERLINK("http://slimages.macys.com/is/image/MCY/19179536 ")</f>
        <v xml:space="preserve">http://slimages.macys.com/is/image/MCY/19179536 </v>
      </c>
      <c r="N398" s="30"/>
    </row>
    <row r="399" spans="1:14" ht="60" x14ac:dyDescent="0.25">
      <c r="A399" s="19" t="s">
        <v>7105</v>
      </c>
      <c r="B399" s="17" t="s">
        <v>7104</v>
      </c>
      <c r="C399" s="20">
        <v>1</v>
      </c>
      <c r="D399" s="18">
        <v>39.5</v>
      </c>
      <c r="E399" s="20" t="s">
        <v>7103</v>
      </c>
      <c r="F399" s="17" t="s">
        <v>91</v>
      </c>
      <c r="G399" s="19" t="s">
        <v>69</v>
      </c>
      <c r="H399" s="18">
        <v>7.4400000000000013</v>
      </c>
      <c r="I399" s="17" t="s">
        <v>68</v>
      </c>
      <c r="J399" s="17" t="s">
        <v>67</v>
      </c>
      <c r="K399" s="17"/>
      <c r="L399" s="17"/>
      <c r="M399" s="16" t="str">
        <f>HYPERLINK("http://slimages.macys.com/is/image/MCY/17481725 ")</f>
        <v xml:space="preserve">http://slimages.macys.com/is/image/MCY/17481725 </v>
      </c>
      <c r="N399" s="30"/>
    </row>
    <row r="400" spans="1:14" ht="60" x14ac:dyDescent="0.25">
      <c r="A400" s="19" t="s">
        <v>7102</v>
      </c>
      <c r="B400" s="17" t="s">
        <v>7101</v>
      </c>
      <c r="C400" s="20">
        <v>1</v>
      </c>
      <c r="D400" s="18">
        <v>39.5</v>
      </c>
      <c r="E400" s="20" t="s">
        <v>7100</v>
      </c>
      <c r="F400" s="17" t="s">
        <v>23</v>
      </c>
      <c r="G400" s="19" t="s">
        <v>74</v>
      </c>
      <c r="H400" s="18">
        <v>7.4400000000000013</v>
      </c>
      <c r="I400" s="17" t="s">
        <v>68</v>
      </c>
      <c r="J400" s="17" t="s">
        <v>67</v>
      </c>
      <c r="K400" s="17"/>
      <c r="L400" s="17"/>
      <c r="M400" s="16" t="str">
        <f>HYPERLINK("http://slimages.macys.com/is/image/MCY/18855748 ")</f>
        <v xml:space="preserve">http://slimages.macys.com/is/image/MCY/18855748 </v>
      </c>
      <c r="N400" s="30"/>
    </row>
    <row r="401" spans="1:14" ht="60" x14ac:dyDescent="0.25">
      <c r="A401" s="19" t="s">
        <v>7099</v>
      </c>
      <c r="B401" s="17" t="s">
        <v>7098</v>
      </c>
      <c r="C401" s="20">
        <v>1</v>
      </c>
      <c r="D401" s="18">
        <v>39.5</v>
      </c>
      <c r="E401" s="20" t="s">
        <v>7097</v>
      </c>
      <c r="F401" s="17" t="s">
        <v>63</v>
      </c>
      <c r="G401" s="19" t="s">
        <v>74</v>
      </c>
      <c r="H401" s="18">
        <v>7.4400000000000013</v>
      </c>
      <c r="I401" s="17" t="s">
        <v>68</v>
      </c>
      <c r="J401" s="17" t="s">
        <v>67</v>
      </c>
      <c r="K401" s="17"/>
      <c r="L401" s="17"/>
      <c r="M401" s="16" t="str">
        <f>HYPERLINK("http://slimages.macys.com/is/image/MCY/18963293 ")</f>
        <v xml:space="preserve">http://slimages.macys.com/is/image/MCY/18963293 </v>
      </c>
      <c r="N401" s="30"/>
    </row>
    <row r="402" spans="1:14" ht="60" x14ac:dyDescent="0.25">
      <c r="A402" s="19" t="s">
        <v>994</v>
      </c>
      <c r="B402" s="17" t="s">
        <v>993</v>
      </c>
      <c r="C402" s="20">
        <v>1</v>
      </c>
      <c r="D402" s="18">
        <v>39.5</v>
      </c>
      <c r="E402" s="20" t="s">
        <v>213</v>
      </c>
      <c r="F402" s="17" t="s">
        <v>23</v>
      </c>
      <c r="G402" s="19" t="s">
        <v>57</v>
      </c>
      <c r="H402" s="18">
        <v>7.4400000000000013</v>
      </c>
      <c r="I402" s="17" t="s">
        <v>56</v>
      </c>
      <c r="J402" s="17" t="s">
        <v>55</v>
      </c>
      <c r="K402" s="17"/>
      <c r="L402" s="17"/>
      <c r="M402" s="16" t="str">
        <f>HYPERLINK("http://slimages.macys.com/is/image/MCY/19179536 ")</f>
        <v xml:space="preserve">http://slimages.macys.com/is/image/MCY/19179536 </v>
      </c>
      <c r="N402" s="30"/>
    </row>
    <row r="403" spans="1:14" ht="60" x14ac:dyDescent="0.25">
      <c r="A403" s="19" t="s">
        <v>7096</v>
      </c>
      <c r="B403" s="17" t="s">
        <v>7095</v>
      </c>
      <c r="C403" s="20">
        <v>1</v>
      </c>
      <c r="D403" s="18">
        <v>39.5</v>
      </c>
      <c r="E403" s="20" t="s">
        <v>5519</v>
      </c>
      <c r="F403" s="17" t="s">
        <v>58</v>
      </c>
      <c r="G403" s="19" t="s">
        <v>57</v>
      </c>
      <c r="H403" s="18">
        <v>7.4400000000000013</v>
      </c>
      <c r="I403" s="17" t="s">
        <v>68</v>
      </c>
      <c r="J403" s="17" t="s">
        <v>67</v>
      </c>
      <c r="K403" s="17"/>
      <c r="L403" s="17"/>
      <c r="M403" s="16" t="str">
        <f>HYPERLINK("http://slimages.macys.com/is/image/MCY/18864439 ")</f>
        <v xml:space="preserve">http://slimages.macys.com/is/image/MCY/18864439 </v>
      </c>
      <c r="N403" s="30"/>
    </row>
    <row r="404" spans="1:14" ht="60" x14ac:dyDescent="0.25">
      <c r="A404" s="19" t="s">
        <v>999</v>
      </c>
      <c r="B404" s="17" t="s">
        <v>998</v>
      </c>
      <c r="C404" s="20">
        <v>2</v>
      </c>
      <c r="D404" s="18">
        <v>39.5</v>
      </c>
      <c r="E404" s="20" t="s">
        <v>213</v>
      </c>
      <c r="F404" s="17" t="s">
        <v>23</v>
      </c>
      <c r="G404" s="19" t="s">
        <v>69</v>
      </c>
      <c r="H404" s="18">
        <v>7.4400000000000013</v>
      </c>
      <c r="I404" s="17" t="s">
        <v>56</v>
      </c>
      <c r="J404" s="17" t="s">
        <v>55</v>
      </c>
      <c r="K404" s="17"/>
      <c r="L404" s="17"/>
      <c r="M404" s="16" t="str">
        <f>HYPERLINK("http://slimages.macys.com/is/image/MCY/19179536 ")</f>
        <v xml:space="preserve">http://slimages.macys.com/is/image/MCY/19179536 </v>
      </c>
      <c r="N404" s="30"/>
    </row>
    <row r="405" spans="1:14" ht="60" x14ac:dyDescent="0.25">
      <c r="A405" s="19" t="s">
        <v>1014</v>
      </c>
      <c r="B405" s="17" t="s">
        <v>1013</v>
      </c>
      <c r="C405" s="20">
        <v>3</v>
      </c>
      <c r="D405" s="18">
        <v>39.5</v>
      </c>
      <c r="E405" s="20" t="s">
        <v>213</v>
      </c>
      <c r="F405" s="17" t="s">
        <v>23</v>
      </c>
      <c r="G405" s="19" t="s">
        <v>62</v>
      </c>
      <c r="H405" s="18">
        <v>7.4400000000000013</v>
      </c>
      <c r="I405" s="17" t="s">
        <v>56</v>
      </c>
      <c r="J405" s="17" t="s">
        <v>55</v>
      </c>
      <c r="K405" s="17"/>
      <c r="L405" s="17"/>
      <c r="M405" s="16" t="str">
        <f>HYPERLINK("http://slimages.macys.com/is/image/MCY/19179536 ")</f>
        <v xml:space="preserve">http://slimages.macys.com/is/image/MCY/19179536 </v>
      </c>
      <c r="N405" s="30"/>
    </row>
    <row r="406" spans="1:14" ht="60" x14ac:dyDescent="0.25">
      <c r="A406" s="19" t="s">
        <v>2519</v>
      </c>
      <c r="B406" s="17" t="s">
        <v>2518</v>
      </c>
      <c r="C406" s="20">
        <v>1</v>
      </c>
      <c r="D406" s="18">
        <v>49</v>
      </c>
      <c r="E406" s="20">
        <v>2331616</v>
      </c>
      <c r="F406" s="17" t="s">
        <v>23</v>
      </c>
      <c r="G406" s="19" t="s">
        <v>62</v>
      </c>
      <c r="H406" s="18">
        <v>7.4000000000000012</v>
      </c>
      <c r="I406" s="17" t="s">
        <v>80</v>
      </c>
      <c r="J406" s="17" t="s">
        <v>293</v>
      </c>
      <c r="K406" s="17"/>
      <c r="L406" s="17"/>
      <c r="M406" s="16" t="str">
        <f>HYPERLINK("http://slimages.macys.com/is/image/MCY/19455300 ")</f>
        <v xml:space="preserve">http://slimages.macys.com/is/image/MCY/19455300 </v>
      </c>
      <c r="N406" s="30"/>
    </row>
    <row r="407" spans="1:14" ht="60" x14ac:dyDescent="0.25">
      <c r="A407" s="19" t="s">
        <v>7094</v>
      </c>
      <c r="B407" s="17" t="s">
        <v>7093</v>
      </c>
      <c r="C407" s="20">
        <v>1</v>
      </c>
      <c r="D407" s="18">
        <v>49</v>
      </c>
      <c r="E407" s="20">
        <v>2331616</v>
      </c>
      <c r="F407" s="17" t="s">
        <v>2284</v>
      </c>
      <c r="G407" s="19" t="s">
        <v>62</v>
      </c>
      <c r="H407" s="18">
        <v>7.4000000000000012</v>
      </c>
      <c r="I407" s="17" t="s">
        <v>80</v>
      </c>
      <c r="J407" s="17" t="s">
        <v>293</v>
      </c>
      <c r="K407" s="17"/>
      <c r="L407" s="17"/>
      <c r="M407" s="16" t="str">
        <f>HYPERLINK("http://slimages.macys.com/is/image/MCY/19455301 ")</f>
        <v xml:space="preserve">http://slimages.macys.com/is/image/MCY/19455301 </v>
      </c>
      <c r="N407" s="30"/>
    </row>
    <row r="408" spans="1:14" ht="60" x14ac:dyDescent="0.25">
      <c r="A408" s="19" t="s">
        <v>7092</v>
      </c>
      <c r="B408" s="17" t="s">
        <v>7091</v>
      </c>
      <c r="C408" s="20">
        <v>1</v>
      </c>
      <c r="D408" s="18">
        <v>42</v>
      </c>
      <c r="E408" s="20" t="s">
        <v>3293</v>
      </c>
      <c r="F408" s="17" t="s">
        <v>51</v>
      </c>
      <c r="G408" s="19" t="s">
        <v>62</v>
      </c>
      <c r="H408" s="18">
        <v>7.3666666666666671</v>
      </c>
      <c r="I408" s="17" t="s">
        <v>80</v>
      </c>
      <c r="J408" s="17" t="s">
        <v>79</v>
      </c>
      <c r="K408" s="17"/>
      <c r="L408" s="17"/>
      <c r="M408" s="16" t="str">
        <f>HYPERLINK("http://slimages.macys.com/is/image/MCY/18593668 ")</f>
        <v xml:space="preserve">http://slimages.macys.com/is/image/MCY/18593668 </v>
      </c>
      <c r="N408" s="30"/>
    </row>
    <row r="409" spans="1:14" ht="60" x14ac:dyDescent="0.25">
      <c r="A409" s="19" t="s">
        <v>7090</v>
      </c>
      <c r="B409" s="17" t="s">
        <v>7089</v>
      </c>
      <c r="C409" s="20">
        <v>1</v>
      </c>
      <c r="D409" s="18">
        <v>49</v>
      </c>
      <c r="E409" s="20">
        <v>2321617</v>
      </c>
      <c r="F409" s="17" t="s">
        <v>70</v>
      </c>
      <c r="G409" s="19" t="s">
        <v>62</v>
      </c>
      <c r="H409" s="18">
        <v>7.3333333333333339</v>
      </c>
      <c r="I409" s="17" t="s">
        <v>80</v>
      </c>
      <c r="J409" s="17" t="s">
        <v>293</v>
      </c>
      <c r="K409" s="17"/>
      <c r="L409" s="17"/>
      <c r="M409" s="16" t="str">
        <f>HYPERLINK("http://slimages.macys.com/is/image/MCY/18749021 ")</f>
        <v xml:space="preserve">http://slimages.macys.com/is/image/MCY/18749021 </v>
      </c>
      <c r="N409" s="30"/>
    </row>
    <row r="410" spans="1:14" ht="60" x14ac:dyDescent="0.25">
      <c r="A410" s="19" t="s">
        <v>7088</v>
      </c>
      <c r="B410" s="17" t="s">
        <v>7087</v>
      </c>
      <c r="C410" s="20">
        <v>1</v>
      </c>
      <c r="D410" s="18">
        <v>49</v>
      </c>
      <c r="E410" s="20">
        <v>2321617</v>
      </c>
      <c r="F410" s="17" t="s">
        <v>70</v>
      </c>
      <c r="G410" s="19" t="s">
        <v>17</v>
      </c>
      <c r="H410" s="18">
        <v>7.3333333333333339</v>
      </c>
      <c r="I410" s="17" t="s">
        <v>80</v>
      </c>
      <c r="J410" s="17" t="s">
        <v>293</v>
      </c>
      <c r="K410" s="17"/>
      <c r="L410" s="17"/>
      <c r="M410" s="16" t="str">
        <f>HYPERLINK("http://slimages.macys.com/is/image/MCY/18749019 ")</f>
        <v xml:space="preserve">http://slimages.macys.com/is/image/MCY/18749019 </v>
      </c>
      <c r="N410" s="30"/>
    </row>
    <row r="411" spans="1:14" ht="60" x14ac:dyDescent="0.25">
      <c r="A411" s="19" t="s">
        <v>7086</v>
      </c>
      <c r="B411" s="17" t="s">
        <v>7085</v>
      </c>
      <c r="C411" s="20">
        <v>2</v>
      </c>
      <c r="D411" s="18">
        <v>27.3</v>
      </c>
      <c r="E411" s="20" t="s">
        <v>7084</v>
      </c>
      <c r="F411" s="17" t="s">
        <v>63</v>
      </c>
      <c r="G411" s="19" t="s">
        <v>62</v>
      </c>
      <c r="H411" s="18">
        <v>7.120000000000001</v>
      </c>
      <c r="I411" s="17" t="s">
        <v>42</v>
      </c>
      <c r="J411" s="17" t="s">
        <v>41</v>
      </c>
      <c r="K411" s="17"/>
      <c r="L411" s="17"/>
      <c r="M411" s="16" t="str">
        <f>HYPERLINK("http://slimages.macys.com/is/image/MCY/19112204 ")</f>
        <v xml:space="preserve">http://slimages.macys.com/is/image/MCY/19112204 </v>
      </c>
      <c r="N411" s="30"/>
    </row>
    <row r="412" spans="1:14" ht="60" x14ac:dyDescent="0.25">
      <c r="A412" s="19" t="s">
        <v>7083</v>
      </c>
      <c r="B412" s="17" t="s">
        <v>7082</v>
      </c>
      <c r="C412" s="20">
        <v>1</v>
      </c>
      <c r="D412" s="18">
        <v>27.3</v>
      </c>
      <c r="E412" s="20" t="s">
        <v>2503</v>
      </c>
      <c r="F412" s="17" t="s">
        <v>58</v>
      </c>
      <c r="G412" s="19" t="s">
        <v>74</v>
      </c>
      <c r="H412" s="18">
        <v>7.120000000000001</v>
      </c>
      <c r="I412" s="17" t="s">
        <v>42</v>
      </c>
      <c r="J412" s="17" t="s">
        <v>41</v>
      </c>
      <c r="K412" s="17"/>
      <c r="L412" s="17"/>
      <c r="M412" s="16" t="str">
        <f>HYPERLINK("http://slimages.macys.com/is/image/MCY/15716460 ")</f>
        <v xml:space="preserve">http://slimages.macys.com/is/image/MCY/15716460 </v>
      </c>
      <c r="N412" s="30"/>
    </row>
    <row r="413" spans="1:14" ht="60" x14ac:dyDescent="0.25">
      <c r="A413" s="19" t="s">
        <v>7081</v>
      </c>
      <c r="B413" s="17" t="s">
        <v>7080</v>
      </c>
      <c r="C413" s="20">
        <v>1</v>
      </c>
      <c r="D413" s="18">
        <v>27.3</v>
      </c>
      <c r="E413" s="20" t="s">
        <v>191</v>
      </c>
      <c r="F413" s="17" t="s">
        <v>23</v>
      </c>
      <c r="G413" s="19" t="s">
        <v>74</v>
      </c>
      <c r="H413" s="18">
        <v>7.120000000000001</v>
      </c>
      <c r="I413" s="17" t="s">
        <v>42</v>
      </c>
      <c r="J413" s="17" t="s">
        <v>41</v>
      </c>
      <c r="K413" s="17"/>
      <c r="L413" s="17"/>
      <c r="M413" s="16" t="str">
        <f>HYPERLINK("http://slimages.macys.com/is/image/MCY/18757221 ")</f>
        <v xml:space="preserve">http://slimages.macys.com/is/image/MCY/18757221 </v>
      </c>
      <c r="N413" s="30"/>
    </row>
    <row r="414" spans="1:14" ht="60" x14ac:dyDescent="0.25">
      <c r="A414" s="19" t="s">
        <v>2500</v>
      </c>
      <c r="B414" s="17" t="s">
        <v>2499</v>
      </c>
      <c r="C414" s="20">
        <v>1</v>
      </c>
      <c r="D414" s="18">
        <v>27.3</v>
      </c>
      <c r="E414" s="20" t="s">
        <v>191</v>
      </c>
      <c r="F414" s="17" t="s">
        <v>23</v>
      </c>
      <c r="G414" s="19" t="s">
        <v>62</v>
      </c>
      <c r="H414" s="18">
        <v>7.120000000000001</v>
      </c>
      <c r="I414" s="17" t="s">
        <v>42</v>
      </c>
      <c r="J414" s="17" t="s">
        <v>41</v>
      </c>
      <c r="K414" s="17"/>
      <c r="L414" s="17"/>
      <c r="M414" s="16" t="str">
        <f>HYPERLINK("http://slimages.macys.com/is/image/MCY/18757221 ")</f>
        <v xml:space="preserve">http://slimages.macys.com/is/image/MCY/18757221 </v>
      </c>
      <c r="N414" s="30"/>
    </row>
    <row r="415" spans="1:14" ht="60" x14ac:dyDescent="0.25">
      <c r="A415" s="19" t="s">
        <v>7079</v>
      </c>
      <c r="B415" s="17" t="s">
        <v>7078</v>
      </c>
      <c r="C415" s="20">
        <v>1</v>
      </c>
      <c r="D415" s="18">
        <v>27.3</v>
      </c>
      <c r="E415" s="20" t="s">
        <v>7077</v>
      </c>
      <c r="F415" s="17" t="s">
        <v>28</v>
      </c>
      <c r="G415" s="19" t="s">
        <v>74</v>
      </c>
      <c r="H415" s="18">
        <v>7.120000000000001</v>
      </c>
      <c r="I415" s="17" t="s">
        <v>42</v>
      </c>
      <c r="J415" s="17" t="s">
        <v>41</v>
      </c>
      <c r="K415" s="17"/>
      <c r="L415" s="17"/>
      <c r="M415" s="16" t="str">
        <f>HYPERLINK("http://slimages.macys.com/is/image/MCY/18504814 ")</f>
        <v xml:space="preserve">http://slimages.macys.com/is/image/MCY/18504814 </v>
      </c>
      <c r="N415" s="30"/>
    </row>
    <row r="416" spans="1:14" ht="60" x14ac:dyDescent="0.25">
      <c r="A416" s="19" t="s">
        <v>7076</v>
      </c>
      <c r="B416" s="17" t="s">
        <v>7075</v>
      </c>
      <c r="C416" s="20">
        <v>1</v>
      </c>
      <c r="D416" s="18">
        <v>30</v>
      </c>
      <c r="E416" s="20" t="s">
        <v>3287</v>
      </c>
      <c r="F416" s="17" t="s">
        <v>413</v>
      </c>
      <c r="G416" s="19" t="s">
        <v>50</v>
      </c>
      <c r="H416" s="18">
        <v>6.9933333333333332</v>
      </c>
      <c r="I416" s="17" t="s">
        <v>16</v>
      </c>
      <c r="J416" s="17" t="s">
        <v>15</v>
      </c>
      <c r="K416" s="17"/>
      <c r="L416" s="17"/>
      <c r="M416" s="16" t="str">
        <f>HYPERLINK("http://slimages.macys.com/is/image/MCY/18946163 ")</f>
        <v xml:space="preserve">http://slimages.macys.com/is/image/MCY/18946163 </v>
      </c>
      <c r="N416" s="30"/>
    </row>
    <row r="417" spans="1:14" ht="60" x14ac:dyDescent="0.25">
      <c r="A417" s="19" t="s">
        <v>5501</v>
      </c>
      <c r="B417" s="17" t="s">
        <v>5500</v>
      </c>
      <c r="C417" s="20">
        <v>8</v>
      </c>
      <c r="D417" s="18">
        <v>30</v>
      </c>
      <c r="E417" s="20" t="s">
        <v>3287</v>
      </c>
      <c r="F417" s="17" t="s">
        <v>413</v>
      </c>
      <c r="G417" s="19" t="s">
        <v>22</v>
      </c>
      <c r="H417" s="18">
        <v>6.9933333333333332</v>
      </c>
      <c r="I417" s="17" t="s">
        <v>16</v>
      </c>
      <c r="J417" s="17" t="s">
        <v>15</v>
      </c>
      <c r="K417" s="17"/>
      <c r="L417" s="17"/>
      <c r="M417" s="16" t="str">
        <f>HYPERLINK("http://slimages.macys.com/is/image/MCY/18946163 ")</f>
        <v xml:space="preserve">http://slimages.macys.com/is/image/MCY/18946163 </v>
      </c>
      <c r="N417" s="30"/>
    </row>
    <row r="418" spans="1:14" ht="60" x14ac:dyDescent="0.25">
      <c r="A418" s="19" t="s">
        <v>7074</v>
      </c>
      <c r="B418" s="17" t="s">
        <v>7073</v>
      </c>
      <c r="C418" s="20">
        <v>1</v>
      </c>
      <c r="D418" s="18">
        <v>30</v>
      </c>
      <c r="E418" s="20" t="s">
        <v>7072</v>
      </c>
      <c r="F418" s="17" t="s">
        <v>28</v>
      </c>
      <c r="G418" s="19" t="s">
        <v>22</v>
      </c>
      <c r="H418" s="18">
        <v>6.9866666666666672</v>
      </c>
      <c r="I418" s="17" t="s">
        <v>16</v>
      </c>
      <c r="J418" s="17" t="s">
        <v>15</v>
      </c>
      <c r="K418" s="17"/>
      <c r="L418" s="17"/>
      <c r="M418" s="16" t="str">
        <f>HYPERLINK("http://slimages.macys.com/is/image/MCY/19546456 ")</f>
        <v xml:space="preserve">http://slimages.macys.com/is/image/MCY/19546456 </v>
      </c>
      <c r="N418" s="30"/>
    </row>
    <row r="419" spans="1:14" ht="60" x14ac:dyDescent="0.25">
      <c r="A419" s="19" t="s">
        <v>7071</v>
      </c>
      <c r="B419" s="17" t="s">
        <v>7070</v>
      </c>
      <c r="C419" s="20">
        <v>1</v>
      </c>
      <c r="D419" s="18">
        <v>39</v>
      </c>
      <c r="E419" s="20" t="s">
        <v>7069</v>
      </c>
      <c r="F419" s="17" t="s">
        <v>578</v>
      </c>
      <c r="G419" s="19" t="s">
        <v>74</v>
      </c>
      <c r="H419" s="18">
        <v>6.5266666666666664</v>
      </c>
      <c r="I419" s="17" t="s">
        <v>1700</v>
      </c>
      <c r="J419" s="17" t="s">
        <v>1699</v>
      </c>
      <c r="K419" s="17"/>
      <c r="L419" s="17"/>
      <c r="M419" s="16" t="str">
        <f>HYPERLINK("http://slimages.macys.com/is/image/MCY/18973244 ")</f>
        <v xml:space="preserve">http://slimages.macys.com/is/image/MCY/18973244 </v>
      </c>
      <c r="N419" s="30"/>
    </row>
    <row r="420" spans="1:14" ht="60" x14ac:dyDescent="0.25">
      <c r="A420" s="19" t="s">
        <v>7068</v>
      </c>
      <c r="B420" s="17" t="s">
        <v>7067</v>
      </c>
      <c r="C420" s="20">
        <v>1</v>
      </c>
      <c r="D420" s="18">
        <v>34</v>
      </c>
      <c r="E420" s="20" t="s">
        <v>7066</v>
      </c>
      <c r="F420" s="17" t="s">
        <v>91</v>
      </c>
      <c r="G420" s="19" t="s">
        <v>197</v>
      </c>
      <c r="H420" s="18">
        <v>6.3466666666666667</v>
      </c>
      <c r="I420" s="17" t="s">
        <v>80</v>
      </c>
      <c r="J420" s="17" t="s">
        <v>183</v>
      </c>
      <c r="K420" s="17"/>
      <c r="L420" s="17"/>
      <c r="M420" s="16" t="str">
        <f>HYPERLINK("http://slimages.macys.com/is/image/MCY/19106350 ")</f>
        <v xml:space="preserve">http://slimages.macys.com/is/image/MCY/19106350 </v>
      </c>
      <c r="N420" s="30"/>
    </row>
    <row r="421" spans="1:14" ht="60" x14ac:dyDescent="0.25">
      <c r="A421" s="19" t="s">
        <v>3278</v>
      </c>
      <c r="B421" s="17" t="s">
        <v>3277</v>
      </c>
      <c r="C421" s="20">
        <v>3</v>
      </c>
      <c r="D421" s="18">
        <v>25</v>
      </c>
      <c r="E421" s="20" t="s">
        <v>978</v>
      </c>
      <c r="F421" s="17" t="s">
        <v>28</v>
      </c>
      <c r="G421" s="19" t="s">
        <v>50</v>
      </c>
      <c r="H421" s="18">
        <v>5.86</v>
      </c>
      <c r="I421" s="17" t="s">
        <v>16</v>
      </c>
      <c r="J421" s="17" t="s">
        <v>15</v>
      </c>
      <c r="K421" s="17"/>
      <c r="L421" s="17"/>
      <c r="M421" s="16" t="str">
        <f>HYPERLINK("http://slimages.macys.com/is/image/MCY/19122031 ")</f>
        <v xml:space="preserve">http://slimages.macys.com/is/image/MCY/19122031 </v>
      </c>
      <c r="N421" s="30"/>
    </row>
    <row r="422" spans="1:14" ht="60" x14ac:dyDescent="0.25">
      <c r="A422" s="19" t="s">
        <v>5478</v>
      </c>
      <c r="B422" s="17" t="s">
        <v>5477</v>
      </c>
      <c r="C422" s="20">
        <v>1</v>
      </c>
      <c r="D422" s="18">
        <v>25</v>
      </c>
      <c r="E422" s="20" t="s">
        <v>965</v>
      </c>
      <c r="F422" s="17" t="s">
        <v>23</v>
      </c>
      <c r="G422" s="19" t="s">
        <v>62</v>
      </c>
      <c r="H422" s="18">
        <v>5.8533333333333335</v>
      </c>
      <c r="I422" s="17" t="s">
        <v>16</v>
      </c>
      <c r="J422" s="17" t="s">
        <v>15</v>
      </c>
      <c r="K422" s="17"/>
      <c r="L422" s="17"/>
      <c r="M422" s="16" t="str">
        <f>HYPERLINK("http://slimages.macys.com/is/image/MCY/19419444 ")</f>
        <v xml:space="preserve">http://slimages.macys.com/is/image/MCY/19419444 </v>
      </c>
      <c r="N422" s="30"/>
    </row>
    <row r="423" spans="1:14" ht="60" x14ac:dyDescent="0.25">
      <c r="A423" s="19" t="s">
        <v>7065</v>
      </c>
      <c r="B423" s="17" t="s">
        <v>7064</v>
      </c>
      <c r="C423" s="20">
        <v>1</v>
      </c>
      <c r="D423" s="18">
        <v>25</v>
      </c>
      <c r="E423" s="20" t="s">
        <v>2469</v>
      </c>
      <c r="F423" s="17" t="s">
        <v>558</v>
      </c>
      <c r="G423" s="19" t="s">
        <v>17</v>
      </c>
      <c r="H423" s="18">
        <v>5.8533333333333335</v>
      </c>
      <c r="I423" s="17" t="s">
        <v>16</v>
      </c>
      <c r="J423" s="17" t="s">
        <v>15</v>
      </c>
      <c r="K423" s="17"/>
      <c r="L423" s="17"/>
      <c r="M423" s="16" t="str">
        <f>HYPERLINK("http://slimages.macys.com/is/image/MCY/19544562 ")</f>
        <v xml:space="preserve">http://slimages.macys.com/is/image/MCY/19544562 </v>
      </c>
      <c r="N423" s="30"/>
    </row>
    <row r="424" spans="1:14" ht="60" x14ac:dyDescent="0.25">
      <c r="A424" s="19" t="s">
        <v>967</v>
      </c>
      <c r="B424" s="17" t="s">
        <v>966</v>
      </c>
      <c r="C424" s="20">
        <v>1</v>
      </c>
      <c r="D424" s="18">
        <v>25</v>
      </c>
      <c r="E424" s="20" t="s">
        <v>965</v>
      </c>
      <c r="F424" s="17" t="s">
        <v>23</v>
      </c>
      <c r="G424" s="19" t="s">
        <v>50</v>
      </c>
      <c r="H424" s="18">
        <v>5.8533333333333335</v>
      </c>
      <c r="I424" s="17" t="s">
        <v>16</v>
      </c>
      <c r="J424" s="17" t="s">
        <v>15</v>
      </c>
      <c r="K424" s="17"/>
      <c r="L424" s="17"/>
      <c r="M424" s="16" t="str">
        <f>HYPERLINK("http://slimages.macys.com/is/image/MCY/19419444 ")</f>
        <v xml:space="preserve">http://slimages.macys.com/is/image/MCY/19419444 </v>
      </c>
      <c r="N424" s="30"/>
    </row>
    <row r="425" spans="1:14" ht="60" x14ac:dyDescent="0.25">
      <c r="A425" s="19" t="s">
        <v>970</v>
      </c>
      <c r="B425" s="17" t="s">
        <v>969</v>
      </c>
      <c r="C425" s="20">
        <v>1</v>
      </c>
      <c r="D425" s="18">
        <v>25</v>
      </c>
      <c r="E425" s="20" t="s">
        <v>968</v>
      </c>
      <c r="F425" s="17" t="s">
        <v>508</v>
      </c>
      <c r="G425" s="19" t="s">
        <v>62</v>
      </c>
      <c r="H425" s="18">
        <v>5.8533333333333335</v>
      </c>
      <c r="I425" s="17" t="s">
        <v>16</v>
      </c>
      <c r="J425" s="17" t="s">
        <v>15</v>
      </c>
      <c r="K425" s="17"/>
      <c r="L425" s="17"/>
      <c r="M425" s="16" t="str">
        <f>HYPERLINK("http://slimages.macys.com/is/image/MCY/18863498 ")</f>
        <v xml:space="preserve">http://slimages.macys.com/is/image/MCY/18863498 </v>
      </c>
      <c r="N425" s="30"/>
    </row>
    <row r="426" spans="1:14" ht="60" x14ac:dyDescent="0.25">
      <c r="A426" s="19" t="s">
        <v>7063</v>
      </c>
      <c r="B426" s="17" t="s">
        <v>7062</v>
      </c>
      <c r="C426" s="20">
        <v>1</v>
      </c>
      <c r="D426" s="18">
        <v>25</v>
      </c>
      <c r="E426" s="20" t="s">
        <v>965</v>
      </c>
      <c r="F426" s="17" t="s">
        <v>23</v>
      </c>
      <c r="G426" s="19" t="s">
        <v>101</v>
      </c>
      <c r="H426" s="18">
        <v>5.8533333333333335</v>
      </c>
      <c r="I426" s="17" t="s">
        <v>16</v>
      </c>
      <c r="J426" s="17" t="s">
        <v>15</v>
      </c>
      <c r="K426" s="17"/>
      <c r="L426" s="17"/>
      <c r="M426" s="16" t="str">
        <f>HYPERLINK("http://slimages.macys.com/is/image/MCY/19419444 ")</f>
        <v xml:space="preserve">http://slimages.macys.com/is/image/MCY/19419444 </v>
      </c>
      <c r="N426" s="30"/>
    </row>
    <row r="427" spans="1:14" ht="60" x14ac:dyDescent="0.25">
      <c r="A427" s="19" t="s">
        <v>7061</v>
      </c>
      <c r="B427" s="17" t="s">
        <v>7060</v>
      </c>
      <c r="C427" s="20">
        <v>6</v>
      </c>
      <c r="D427" s="18">
        <v>25</v>
      </c>
      <c r="E427" s="20" t="s">
        <v>2469</v>
      </c>
      <c r="F427" s="17" t="s">
        <v>558</v>
      </c>
      <c r="G427" s="19" t="s">
        <v>27</v>
      </c>
      <c r="H427" s="18">
        <v>5.8533333333333335</v>
      </c>
      <c r="I427" s="17" t="s">
        <v>16</v>
      </c>
      <c r="J427" s="17" t="s">
        <v>15</v>
      </c>
      <c r="K427" s="17"/>
      <c r="L427" s="17"/>
      <c r="M427" s="16" t="str">
        <f>HYPERLINK("http://slimages.macys.com/is/image/MCY/19544562 ")</f>
        <v xml:space="preserve">http://slimages.macys.com/is/image/MCY/19544562 </v>
      </c>
      <c r="N427" s="30"/>
    </row>
    <row r="428" spans="1:14" ht="60" x14ac:dyDescent="0.25">
      <c r="A428" s="19" t="s">
        <v>7059</v>
      </c>
      <c r="B428" s="17" t="s">
        <v>5481</v>
      </c>
      <c r="C428" s="20">
        <v>1</v>
      </c>
      <c r="D428" s="18">
        <v>25</v>
      </c>
      <c r="E428" s="20" t="s">
        <v>2466</v>
      </c>
      <c r="F428" s="17" t="s">
        <v>23</v>
      </c>
      <c r="G428" s="19" t="s">
        <v>22</v>
      </c>
      <c r="H428" s="18">
        <v>5.8533333333333335</v>
      </c>
      <c r="I428" s="17" t="s">
        <v>16</v>
      </c>
      <c r="J428" s="17" t="s">
        <v>15</v>
      </c>
      <c r="K428" s="17"/>
      <c r="L428" s="17"/>
      <c r="M428" s="16" t="str">
        <f>HYPERLINK("http://slimages.macys.com/is/image/MCY/18520742 ")</f>
        <v xml:space="preserve">http://slimages.macys.com/is/image/MCY/18520742 </v>
      </c>
      <c r="N428" s="30"/>
    </row>
    <row r="429" spans="1:14" ht="60" x14ac:dyDescent="0.25">
      <c r="A429" s="19" t="s">
        <v>7058</v>
      </c>
      <c r="B429" s="17" t="s">
        <v>7057</v>
      </c>
      <c r="C429" s="20">
        <v>2</v>
      </c>
      <c r="D429" s="18">
        <v>24.5</v>
      </c>
      <c r="E429" s="20" t="s">
        <v>1694</v>
      </c>
      <c r="F429" s="17" t="s">
        <v>28</v>
      </c>
      <c r="G429" s="19" t="s">
        <v>197</v>
      </c>
      <c r="H429" s="18">
        <v>5.7333333333333334</v>
      </c>
      <c r="I429" s="17" t="s">
        <v>68</v>
      </c>
      <c r="J429" s="17" t="s">
        <v>67</v>
      </c>
      <c r="K429" s="17" t="s">
        <v>389</v>
      </c>
      <c r="L429" s="17" t="s">
        <v>3264</v>
      </c>
      <c r="M429" s="16" t="str">
        <f>HYPERLINK("http://slimages.macys.com/is/image/MCY/8286549 ")</f>
        <v xml:space="preserve">http://slimages.macys.com/is/image/MCY/8286549 </v>
      </c>
      <c r="N429" s="30"/>
    </row>
    <row r="430" spans="1:14" ht="60" x14ac:dyDescent="0.25">
      <c r="A430" s="19" t="s">
        <v>7056</v>
      </c>
      <c r="B430" s="17" t="s">
        <v>7055</v>
      </c>
      <c r="C430" s="20">
        <v>1</v>
      </c>
      <c r="D430" s="18">
        <v>39</v>
      </c>
      <c r="E430" s="20">
        <v>2321609</v>
      </c>
      <c r="F430" s="17" t="s">
        <v>91</v>
      </c>
      <c r="G430" s="19" t="s">
        <v>62</v>
      </c>
      <c r="H430" s="18">
        <v>5.666666666666667</v>
      </c>
      <c r="I430" s="17" t="s">
        <v>80</v>
      </c>
      <c r="J430" s="17" t="s">
        <v>293</v>
      </c>
      <c r="K430" s="17"/>
      <c r="L430" s="17"/>
      <c r="M430" s="16" t="str">
        <f>HYPERLINK("http://slimages.macys.com/is/image/MCY/18605627 ")</f>
        <v xml:space="preserve">http://slimages.macys.com/is/image/MCY/18605627 </v>
      </c>
      <c r="N430" s="30"/>
    </row>
    <row r="431" spans="1:14" ht="60" x14ac:dyDescent="0.25">
      <c r="A431" s="19" t="s">
        <v>7054</v>
      </c>
      <c r="B431" s="17" t="s">
        <v>7053</v>
      </c>
      <c r="C431" s="20">
        <v>1</v>
      </c>
      <c r="D431" s="18">
        <v>39</v>
      </c>
      <c r="E431" s="20">
        <v>2321609</v>
      </c>
      <c r="F431" s="17" t="s">
        <v>91</v>
      </c>
      <c r="G431" s="19" t="s">
        <v>50</v>
      </c>
      <c r="H431" s="18">
        <v>5.666666666666667</v>
      </c>
      <c r="I431" s="17" t="s">
        <v>80</v>
      </c>
      <c r="J431" s="17" t="s">
        <v>293</v>
      </c>
      <c r="K431" s="17"/>
      <c r="L431" s="17"/>
      <c r="M431" s="16" t="str">
        <f>HYPERLINK("http://slimages.macys.com/is/image/MCY/18605627 ")</f>
        <v xml:space="preserve">http://slimages.macys.com/is/image/MCY/18605627 </v>
      </c>
      <c r="N431" s="30"/>
    </row>
    <row r="432" spans="1:14" ht="60" x14ac:dyDescent="0.25">
      <c r="A432" s="19" t="s">
        <v>7052</v>
      </c>
      <c r="B432" s="17" t="s">
        <v>7051</v>
      </c>
      <c r="C432" s="20">
        <v>1</v>
      </c>
      <c r="D432" s="18">
        <v>28</v>
      </c>
      <c r="E432" s="20" t="s">
        <v>5461</v>
      </c>
      <c r="F432" s="17" t="s">
        <v>23</v>
      </c>
      <c r="G432" s="19" t="s">
        <v>197</v>
      </c>
      <c r="H432" s="18">
        <v>5.2266666666666675</v>
      </c>
      <c r="I432" s="17" t="s">
        <v>80</v>
      </c>
      <c r="J432" s="17" t="s">
        <v>183</v>
      </c>
      <c r="K432" s="17"/>
      <c r="L432" s="17"/>
      <c r="M432" s="16" t="str">
        <f>HYPERLINK("http://slimages.macys.com/is/image/MCY/19737028 ")</f>
        <v xml:space="preserve">http://slimages.macys.com/is/image/MCY/19737028 </v>
      </c>
      <c r="N432" s="30"/>
    </row>
    <row r="433" spans="1:14" ht="60" x14ac:dyDescent="0.25">
      <c r="A433" s="19" t="s">
        <v>7050</v>
      </c>
      <c r="B433" s="17" t="s">
        <v>7049</v>
      </c>
      <c r="C433" s="20">
        <v>1</v>
      </c>
      <c r="D433" s="18">
        <v>34</v>
      </c>
      <c r="E433" s="20" t="s">
        <v>7048</v>
      </c>
      <c r="F433" s="17" t="s">
        <v>23</v>
      </c>
      <c r="G433" s="19" t="s">
        <v>57</v>
      </c>
      <c r="H433" s="18">
        <v>5.0666666666666673</v>
      </c>
      <c r="I433" s="17" t="s">
        <v>1700</v>
      </c>
      <c r="J433" s="17" t="s">
        <v>1699</v>
      </c>
      <c r="K433" s="17"/>
      <c r="L433" s="17"/>
      <c r="M433" s="16" t="str">
        <f>HYPERLINK("http://slimages.macys.com/is/image/MCY/18547971 ")</f>
        <v xml:space="preserve">http://slimages.macys.com/is/image/MCY/18547971 </v>
      </c>
      <c r="N433" s="30"/>
    </row>
    <row r="434" spans="1:14" ht="60" x14ac:dyDescent="0.25">
      <c r="A434" s="19" t="s">
        <v>7047</v>
      </c>
      <c r="B434" s="17" t="s">
        <v>7046</v>
      </c>
      <c r="C434" s="20">
        <v>1</v>
      </c>
      <c r="D434" s="18">
        <v>34</v>
      </c>
      <c r="E434" s="20" t="s">
        <v>6237</v>
      </c>
      <c r="F434" s="17" t="s">
        <v>70</v>
      </c>
      <c r="G434" s="19" t="s">
        <v>7045</v>
      </c>
      <c r="H434" s="18">
        <v>5.0666666666666673</v>
      </c>
      <c r="I434" s="17" t="s">
        <v>1700</v>
      </c>
      <c r="J434" s="17" t="s">
        <v>1699</v>
      </c>
      <c r="K434" s="17"/>
      <c r="L434" s="17"/>
      <c r="M434" s="16" t="str">
        <f>HYPERLINK("http://slimages.macys.com/is/image/MCY/18863486 ")</f>
        <v xml:space="preserve">http://slimages.macys.com/is/image/MCY/18863486 </v>
      </c>
      <c r="N434" s="30"/>
    </row>
    <row r="435" spans="1:14" ht="60" x14ac:dyDescent="0.25">
      <c r="A435" s="19" t="s">
        <v>5455</v>
      </c>
      <c r="B435" s="17" t="s">
        <v>5454</v>
      </c>
      <c r="C435" s="20">
        <v>1</v>
      </c>
      <c r="D435" s="18">
        <v>34</v>
      </c>
      <c r="E435" s="20" t="s">
        <v>5453</v>
      </c>
      <c r="F435" s="17" t="s">
        <v>508</v>
      </c>
      <c r="G435" s="19" t="s">
        <v>57</v>
      </c>
      <c r="H435" s="18">
        <v>5.0666666666666673</v>
      </c>
      <c r="I435" s="17" t="s">
        <v>1700</v>
      </c>
      <c r="J435" s="17" t="s">
        <v>1699</v>
      </c>
      <c r="K435" s="17"/>
      <c r="L435" s="17"/>
      <c r="M435" s="16" t="str">
        <f>HYPERLINK("http://slimages.macys.com/is/image/MCY/18863829 ")</f>
        <v xml:space="preserve">http://slimages.macys.com/is/image/MCY/18863829 </v>
      </c>
      <c r="N435" s="30"/>
    </row>
    <row r="436" spans="1:14" ht="60" x14ac:dyDescent="0.25">
      <c r="A436" s="19" t="s">
        <v>7044</v>
      </c>
      <c r="B436" s="17" t="s">
        <v>7043</v>
      </c>
      <c r="C436" s="20">
        <v>1</v>
      </c>
      <c r="D436" s="18">
        <v>20</v>
      </c>
      <c r="E436" s="20" t="s">
        <v>3239</v>
      </c>
      <c r="F436" s="17" t="s">
        <v>149</v>
      </c>
      <c r="G436" s="19" t="s">
        <v>101</v>
      </c>
      <c r="H436" s="18">
        <v>4.9466666666666672</v>
      </c>
      <c r="I436" s="17" t="s">
        <v>16</v>
      </c>
      <c r="J436" s="17" t="s">
        <v>15</v>
      </c>
      <c r="K436" s="17"/>
      <c r="L436" s="17"/>
      <c r="M436" s="16" t="str">
        <f>HYPERLINK("http://slimages.macys.com/is/image/MCY/18946626 ")</f>
        <v xml:space="preserve">http://slimages.macys.com/is/image/MCY/18946626 </v>
      </c>
      <c r="N436" s="30"/>
    </row>
    <row r="437" spans="1:14" ht="60" x14ac:dyDescent="0.25">
      <c r="A437" s="19" t="s">
        <v>5452</v>
      </c>
      <c r="B437" s="17" t="s">
        <v>5451</v>
      </c>
      <c r="C437" s="20">
        <v>1</v>
      </c>
      <c r="D437" s="18">
        <v>20</v>
      </c>
      <c r="E437" s="20" t="s">
        <v>3239</v>
      </c>
      <c r="F437" s="17" t="s">
        <v>149</v>
      </c>
      <c r="G437" s="19" t="s">
        <v>50</v>
      </c>
      <c r="H437" s="18">
        <v>4.9466666666666672</v>
      </c>
      <c r="I437" s="17" t="s">
        <v>16</v>
      </c>
      <c r="J437" s="17" t="s">
        <v>15</v>
      </c>
      <c r="K437" s="17"/>
      <c r="L437" s="17"/>
      <c r="M437" s="16" t="str">
        <f>HYPERLINK("http://slimages.macys.com/is/image/MCY/18946626 ")</f>
        <v xml:space="preserve">http://slimages.macys.com/is/image/MCY/18946626 </v>
      </c>
      <c r="N437" s="30"/>
    </row>
    <row r="438" spans="1:14" ht="60" x14ac:dyDescent="0.25">
      <c r="A438" s="19" t="s">
        <v>7042</v>
      </c>
      <c r="B438" s="17" t="s">
        <v>7041</v>
      </c>
      <c r="C438" s="20">
        <v>1</v>
      </c>
      <c r="D438" s="18">
        <v>20</v>
      </c>
      <c r="E438" s="20" t="s">
        <v>7040</v>
      </c>
      <c r="F438" s="17" t="s">
        <v>51</v>
      </c>
      <c r="G438" s="19" t="s">
        <v>62</v>
      </c>
      <c r="H438" s="18">
        <v>4.666666666666667</v>
      </c>
      <c r="I438" s="17" t="s">
        <v>80</v>
      </c>
      <c r="J438" s="17" t="s">
        <v>79</v>
      </c>
      <c r="K438" s="17"/>
      <c r="L438" s="17"/>
      <c r="M438" s="16" t="str">
        <f>HYPERLINK("http://slimages.macys.com/is/image/MCY/18593688 ")</f>
        <v xml:space="preserve">http://slimages.macys.com/is/image/MCY/18593688 </v>
      </c>
      <c r="N438" s="30"/>
    </row>
    <row r="439" spans="1:14" ht="60" x14ac:dyDescent="0.25">
      <c r="A439" s="19" t="s">
        <v>7039</v>
      </c>
      <c r="B439" s="17" t="s">
        <v>7038</v>
      </c>
      <c r="C439" s="20">
        <v>1</v>
      </c>
      <c r="D439" s="18">
        <v>34</v>
      </c>
      <c r="E439" s="20" t="s">
        <v>7037</v>
      </c>
      <c r="F439" s="17" t="s">
        <v>51</v>
      </c>
      <c r="G439" s="19" t="s">
        <v>62</v>
      </c>
      <c r="H439" s="18">
        <v>4.5600000000000005</v>
      </c>
      <c r="I439" s="17" t="s">
        <v>1700</v>
      </c>
      <c r="J439" s="17" t="s">
        <v>1699</v>
      </c>
      <c r="K439" s="17"/>
      <c r="L439" s="17"/>
      <c r="M439" s="16" t="str">
        <f>HYPERLINK("http://slimages.macys.com/is/image/MCY/18622079 ")</f>
        <v xml:space="preserve">http://slimages.macys.com/is/image/MCY/18622079 </v>
      </c>
      <c r="N439" s="30"/>
    </row>
    <row r="440" spans="1:14" ht="48" x14ac:dyDescent="0.25">
      <c r="A440" s="19" t="s">
        <v>7036</v>
      </c>
      <c r="B440" s="17" t="s">
        <v>2154</v>
      </c>
      <c r="C440" s="20">
        <v>1</v>
      </c>
      <c r="D440" s="18">
        <v>97.3</v>
      </c>
      <c r="E440" s="20" t="s">
        <v>6030</v>
      </c>
      <c r="F440" s="17" t="s">
        <v>58</v>
      </c>
      <c r="G440" s="19"/>
      <c r="H440" s="18">
        <v>25.38</v>
      </c>
      <c r="I440" s="17" t="s">
        <v>42</v>
      </c>
      <c r="J440" s="17" t="s">
        <v>41</v>
      </c>
      <c r="K440" s="17"/>
      <c r="L440" s="17"/>
      <c r="M440" s="16"/>
      <c r="N440" s="30"/>
    </row>
    <row r="441" spans="1:14" ht="48" x14ac:dyDescent="0.25">
      <c r="A441" s="19" t="s">
        <v>2445</v>
      </c>
      <c r="B441" s="17" t="s">
        <v>2444</v>
      </c>
      <c r="C441" s="20">
        <v>1</v>
      </c>
      <c r="D441" s="18">
        <v>55.3</v>
      </c>
      <c r="E441" s="20" t="s">
        <v>1631</v>
      </c>
      <c r="F441" s="17" t="s">
        <v>58</v>
      </c>
      <c r="G441" s="19" t="s">
        <v>197</v>
      </c>
      <c r="H441" s="18">
        <v>14.426666666666668</v>
      </c>
      <c r="I441" s="17" t="s">
        <v>42</v>
      </c>
      <c r="J441" s="17" t="s">
        <v>41</v>
      </c>
      <c r="K441" s="17"/>
      <c r="L441" s="17"/>
      <c r="M441" s="16"/>
      <c r="N441" s="30"/>
    </row>
    <row r="442" spans="1:14" ht="48" x14ac:dyDescent="0.25">
      <c r="A442" s="19" t="s">
        <v>6219</v>
      </c>
      <c r="B442" s="17" t="s">
        <v>6218</v>
      </c>
      <c r="C442" s="20">
        <v>20</v>
      </c>
      <c r="D442" s="18">
        <v>62.3</v>
      </c>
      <c r="E442" s="20" t="s">
        <v>86</v>
      </c>
      <c r="F442" s="17" t="s">
        <v>85</v>
      </c>
      <c r="G442" s="19"/>
      <c r="H442" s="18">
        <v>12.6</v>
      </c>
      <c r="I442" s="17" t="s">
        <v>42</v>
      </c>
      <c r="J442" s="17" t="s">
        <v>41</v>
      </c>
      <c r="K442" s="17"/>
      <c r="L442" s="17"/>
      <c r="M442" s="16"/>
      <c r="N442" s="30"/>
    </row>
    <row r="443" spans="1:14" ht="48" x14ac:dyDescent="0.25">
      <c r="A443" s="19" t="s">
        <v>7035</v>
      </c>
      <c r="B443" s="17" t="s">
        <v>7034</v>
      </c>
      <c r="C443" s="20">
        <v>2</v>
      </c>
      <c r="D443" s="18">
        <v>62.3</v>
      </c>
      <c r="E443" s="20" t="s">
        <v>86</v>
      </c>
      <c r="F443" s="17" t="s">
        <v>85</v>
      </c>
      <c r="G443" s="19"/>
      <c r="H443" s="18">
        <v>12.6</v>
      </c>
      <c r="I443" s="17" t="s">
        <v>42</v>
      </c>
      <c r="J443" s="17" t="s">
        <v>41</v>
      </c>
      <c r="K443" s="17"/>
      <c r="L443" s="17"/>
      <c r="M443" s="16"/>
      <c r="N443" s="30"/>
    </row>
    <row r="444" spans="1:14" ht="48" x14ac:dyDescent="0.25">
      <c r="A444" s="19" t="s">
        <v>88</v>
      </c>
      <c r="B444" s="17" t="s">
        <v>87</v>
      </c>
      <c r="C444" s="20">
        <v>1</v>
      </c>
      <c r="D444" s="18">
        <v>62.3</v>
      </c>
      <c r="E444" s="20" t="s">
        <v>86</v>
      </c>
      <c r="F444" s="17" t="s">
        <v>85</v>
      </c>
      <c r="G444" s="19"/>
      <c r="H444" s="18">
        <v>12.6</v>
      </c>
      <c r="I444" s="17" t="s">
        <v>42</v>
      </c>
      <c r="J444" s="17" t="s">
        <v>41</v>
      </c>
      <c r="K444" s="17"/>
      <c r="L444" s="17"/>
      <c r="M444" s="16"/>
      <c r="N444" s="30"/>
    </row>
    <row r="445" spans="1:14" ht="48" x14ac:dyDescent="0.25">
      <c r="A445" s="19" t="s">
        <v>6221</v>
      </c>
      <c r="B445" s="17" t="s">
        <v>6220</v>
      </c>
      <c r="C445" s="20">
        <v>1</v>
      </c>
      <c r="D445" s="18">
        <v>62.3</v>
      </c>
      <c r="E445" s="20" t="s">
        <v>86</v>
      </c>
      <c r="F445" s="17" t="s">
        <v>85</v>
      </c>
      <c r="G445" s="19" t="s">
        <v>419</v>
      </c>
      <c r="H445" s="18">
        <v>12.6</v>
      </c>
      <c r="I445" s="17" t="s">
        <v>42</v>
      </c>
      <c r="J445" s="17" t="s">
        <v>41</v>
      </c>
      <c r="K445" s="17"/>
      <c r="L445" s="17"/>
      <c r="M445" s="16"/>
      <c r="N445" s="30"/>
    </row>
    <row r="446" spans="1:14" ht="48" x14ac:dyDescent="0.25">
      <c r="A446" s="19" t="s">
        <v>7033</v>
      </c>
      <c r="B446" s="17" t="s">
        <v>7032</v>
      </c>
      <c r="C446" s="20">
        <v>7</v>
      </c>
      <c r="D446" s="18">
        <v>41.3</v>
      </c>
      <c r="E446" s="20" t="s">
        <v>6211</v>
      </c>
      <c r="F446" s="17" t="s">
        <v>58</v>
      </c>
      <c r="G446" s="19" t="s">
        <v>62</v>
      </c>
      <c r="H446" s="18">
        <v>10.780000000000001</v>
      </c>
      <c r="I446" s="17" t="s">
        <v>42</v>
      </c>
      <c r="J446" s="17" t="s">
        <v>41</v>
      </c>
      <c r="K446" s="17"/>
      <c r="L446" s="17"/>
      <c r="M446" s="16"/>
      <c r="N446" s="30"/>
    </row>
    <row r="447" spans="1:14" ht="48" x14ac:dyDescent="0.25">
      <c r="A447" s="19" t="s">
        <v>3100</v>
      </c>
      <c r="B447" s="17" t="s">
        <v>3099</v>
      </c>
      <c r="C447" s="20">
        <v>10</v>
      </c>
      <c r="D447" s="18">
        <v>34.299999999999997</v>
      </c>
      <c r="E447" s="20" t="s">
        <v>2564</v>
      </c>
      <c r="F447" s="17" t="s">
        <v>63</v>
      </c>
      <c r="G447" s="19" t="s">
        <v>57</v>
      </c>
      <c r="H447" s="18">
        <v>8.9466666666666672</v>
      </c>
      <c r="I447" s="17" t="s">
        <v>42</v>
      </c>
      <c r="J447" s="17" t="s">
        <v>41</v>
      </c>
      <c r="K447" s="17"/>
      <c r="L447" s="17"/>
      <c r="M447" s="16"/>
      <c r="N447" s="30"/>
    </row>
    <row r="448" spans="1:14" ht="48" x14ac:dyDescent="0.25">
      <c r="A448" s="19" t="s">
        <v>7031</v>
      </c>
      <c r="B448" s="17" t="s">
        <v>7030</v>
      </c>
      <c r="C448" s="20">
        <v>1</v>
      </c>
      <c r="D448" s="18">
        <v>34.299999999999997</v>
      </c>
      <c r="E448" s="20" t="s">
        <v>1617</v>
      </c>
      <c r="F448" s="17" t="s">
        <v>433</v>
      </c>
      <c r="G448" s="19" t="s">
        <v>69</v>
      </c>
      <c r="H448" s="18">
        <v>8.9466666666666672</v>
      </c>
      <c r="I448" s="17" t="s">
        <v>42</v>
      </c>
      <c r="J448" s="17" t="s">
        <v>41</v>
      </c>
      <c r="K448" s="17"/>
      <c r="L448" s="17"/>
      <c r="M448" s="16"/>
      <c r="N448" s="30"/>
    </row>
    <row r="449" spans="1:14" x14ac:dyDescent="0.25">
      <c r="A449" s="19" t="s">
        <v>7029</v>
      </c>
      <c r="B449" s="17" t="s">
        <v>7028</v>
      </c>
      <c r="C449" s="20">
        <v>1</v>
      </c>
      <c r="D449" s="18">
        <v>39</v>
      </c>
      <c r="E449" s="20" t="s">
        <v>5562</v>
      </c>
      <c r="F449" s="17" t="s">
        <v>282</v>
      </c>
      <c r="G449" s="19" t="s">
        <v>62</v>
      </c>
      <c r="H449" s="18">
        <v>8.6066666666666674</v>
      </c>
      <c r="I449" s="17" t="s">
        <v>49</v>
      </c>
      <c r="J449" s="17" t="s">
        <v>48</v>
      </c>
      <c r="K449" s="17"/>
      <c r="L449" s="17"/>
      <c r="M449" s="16"/>
      <c r="N449" s="30"/>
    </row>
    <row r="450" spans="1:14" ht="48" x14ac:dyDescent="0.25">
      <c r="A450" s="19" t="s">
        <v>7027</v>
      </c>
      <c r="B450" s="17" t="s">
        <v>7026</v>
      </c>
      <c r="C450" s="20">
        <v>1</v>
      </c>
      <c r="D450" s="18">
        <v>31.5</v>
      </c>
      <c r="E450" s="20" t="s">
        <v>5416</v>
      </c>
      <c r="F450" s="17" t="s">
        <v>63</v>
      </c>
      <c r="G450" s="19" t="s">
        <v>74</v>
      </c>
      <c r="H450" s="18">
        <v>8.2200000000000006</v>
      </c>
      <c r="I450" s="17" t="s">
        <v>42</v>
      </c>
      <c r="J450" s="17" t="s">
        <v>41</v>
      </c>
      <c r="K450" s="17"/>
      <c r="L450" s="17"/>
      <c r="M450" s="16"/>
      <c r="N450" s="30"/>
    </row>
    <row r="451" spans="1:14" ht="36" x14ac:dyDescent="0.25">
      <c r="A451" s="19" t="s">
        <v>5415</v>
      </c>
      <c r="B451" s="17" t="s">
        <v>5414</v>
      </c>
      <c r="C451" s="20">
        <v>1</v>
      </c>
      <c r="D451" s="18">
        <v>30</v>
      </c>
      <c r="E451" s="20" t="s">
        <v>5413</v>
      </c>
      <c r="F451" s="17" t="s">
        <v>51</v>
      </c>
      <c r="G451" s="19" t="s">
        <v>62</v>
      </c>
      <c r="H451" s="18">
        <v>7.8666666666666663</v>
      </c>
      <c r="I451" s="17" t="s">
        <v>16</v>
      </c>
      <c r="J451" s="17" t="s">
        <v>15</v>
      </c>
      <c r="K451" s="17"/>
      <c r="L451" s="17"/>
      <c r="M451" s="16"/>
      <c r="N451" s="30"/>
    </row>
    <row r="452" spans="1:14" ht="48" x14ac:dyDescent="0.25">
      <c r="A452" s="19" t="s">
        <v>7025</v>
      </c>
      <c r="B452" s="17" t="s">
        <v>7024</v>
      </c>
      <c r="C452" s="20">
        <v>1</v>
      </c>
      <c r="D452" s="18">
        <v>34.299999999999997</v>
      </c>
      <c r="E452" s="20" t="s">
        <v>7023</v>
      </c>
      <c r="F452" s="17" t="s">
        <v>28</v>
      </c>
      <c r="G452" s="19" t="s">
        <v>57</v>
      </c>
      <c r="H452" s="18">
        <v>7.8133333333333335</v>
      </c>
      <c r="I452" s="17" t="s">
        <v>42</v>
      </c>
      <c r="J452" s="17" t="s">
        <v>41</v>
      </c>
      <c r="K452" s="17"/>
      <c r="L452" s="17"/>
      <c r="M452" s="16"/>
      <c r="N452" s="30"/>
    </row>
    <row r="453" spans="1:14" ht="48" x14ac:dyDescent="0.25">
      <c r="A453" s="19" t="s">
        <v>7022</v>
      </c>
      <c r="B453" s="17" t="s">
        <v>7021</v>
      </c>
      <c r="C453" s="20">
        <v>1</v>
      </c>
      <c r="D453" s="18">
        <v>34.299999999999997</v>
      </c>
      <c r="E453" s="20" t="s">
        <v>45</v>
      </c>
      <c r="F453" s="17" t="s">
        <v>44</v>
      </c>
      <c r="G453" s="19" t="s">
        <v>74</v>
      </c>
      <c r="H453" s="18">
        <v>7.8133333333333335</v>
      </c>
      <c r="I453" s="17" t="s">
        <v>42</v>
      </c>
      <c r="J453" s="17" t="s">
        <v>41</v>
      </c>
      <c r="K453" s="17"/>
      <c r="L453" s="17"/>
      <c r="M453" s="16"/>
      <c r="N453" s="30"/>
    </row>
    <row r="454" spans="1:14" ht="48" x14ac:dyDescent="0.25">
      <c r="A454" s="19" t="s">
        <v>7020</v>
      </c>
      <c r="B454" s="17" t="s">
        <v>7019</v>
      </c>
      <c r="C454" s="20">
        <v>1</v>
      </c>
      <c r="D454" s="18">
        <v>39.5</v>
      </c>
      <c r="E454" s="20" t="s">
        <v>7018</v>
      </c>
      <c r="F454" s="17" t="s">
        <v>63</v>
      </c>
      <c r="G454" s="19" t="s">
        <v>57</v>
      </c>
      <c r="H454" s="18">
        <v>7.4400000000000013</v>
      </c>
      <c r="I454" s="17" t="s">
        <v>68</v>
      </c>
      <c r="J454" s="17" t="s">
        <v>67</v>
      </c>
      <c r="K454" s="17"/>
      <c r="L454" s="17"/>
      <c r="M454" s="16"/>
      <c r="N454" s="30"/>
    </row>
    <row r="455" spans="1:14" ht="48" x14ac:dyDescent="0.25">
      <c r="A455" s="19" t="s">
        <v>7017</v>
      </c>
      <c r="B455" s="17" t="s">
        <v>7016</v>
      </c>
      <c r="C455" s="20">
        <v>1</v>
      </c>
      <c r="D455" s="18">
        <v>27.3</v>
      </c>
      <c r="E455" s="20" t="s">
        <v>7015</v>
      </c>
      <c r="F455" s="17" t="s">
        <v>23</v>
      </c>
      <c r="G455" s="19" t="s">
        <v>74</v>
      </c>
      <c r="H455" s="18">
        <v>7.120000000000001</v>
      </c>
      <c r="I455" s="17" t="s">
        <v>42</v>
      </c>
      <c r="J455" s="17" t="s">
        <v>41</v>
      </c>
      <c r="K455" s="17"/>
      <c r="L455" s="17"/>
      <c r="M455" s="16"/>
      <c r="N455" s="30"/>
    </row>
    <row r="456" spans="1:14" ht="36" x14ac:dyDescent="0.25">
      <c r="A456" s="19" t="s">
        <v>5412</v>
      </c>
      <c r="B456" s="17" t="s">
        <v>5411</v>
      </c>
      <c r="C456" s="20">
        <v>1</v>
      </c>
      <c r="D456" s="18">
        <v>25</v>
      </c>
      <c r="E456" s="20" t="s">
        <v>5410</v>
      </c>
      <c r="F456" s="17" t="s">
        <v>35</v>
      </c>
      <c r="G456" s="19" t="s">
        <v>57</v>
      </c>
      <c r="H456" s="18">
        <v>6</v>
      </c>
      <c r="I456" s="17" t="s">
        <v>80</v>
      </c>
      <c r="J456" s="17" t="s">
        <v>187</v>
      </c>
      <c r="K456" s="17"/>
      <c r="L456" s="17"/>
      <c r="M456" s="16"/>
      <c r="N456" s="30"/>
    </row>
    <row r="457" spans="1:14" ht="36" x14ac:dyDescent="0.25">
      <c r="A457" s="19" t="s">
        <v>7014</v>
      </c>
      <c r="B457" s="17" t="s">
        <v>7013</v>
      </c>
      <c r="C457" s="20">
        <v>1</v>
      </c>
      <c r="D457" s="18">
        <v>25</v>
      </c>
      <c r="E457" s="20" t="s">
        <v>29</v>
      </c>
      <c r="F457" s="17" t="s">
        <v>28</v>
      </c>
      <c r="G457" s="19" t="s">
        <v>62</v>
      </c>
      <c r="H457" s="18">
        <v>5.8533333333333335</v>
      </c>
      <c r="I457" s="17" t="s">
        <v>16</v>
      </c>
      <c r="J457" s="17" t="s">
        <v>15</v>
      </c>
      <c r="K457" s="17"/>
      <c r="L457" s="17"/>
      <c r="M457" s="16"/>
      <c r="N457" s="30"/>
    </row>
  </sheetData>
  <pageMargins left="0.5" right="0.5" top="0.25" bottom="0.25" header="0.3" footer="0.3"/>
  <pageSetup scale="65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FF"/>
  </sheetPr>
  <dimension ref="A1:N546"/>
  <sheetViews>
    <sheetView workbookViewId="0">
      <selection activeCell="K2" sqref="K2"/>
    </sheetView>
  </sheetViews>
  <sheetFormatPr defaultRowHeight="15" x14ac:dyDescent="0.25"/>
  <cols>
    <col min="1" max="1" width="14.140625" style="15" bestFit="1" customWidth="1"/>
    <col min="2" max="2" width="50.85546875" style="15" customWidth="1"/>
    <col min="3" max="3" width="12.42578125" style="15" bestFit="1" customWidth="1"/>
    <col min="4" max="4" width="8.7109375" style="15" bestFit="1" customWidth="1"/>
    <col min="5" max="5" width="14.42578125" style="15" bestFit="1" customWidth="1"/>
    <col min="6" max="6" width="13.28515625" style="15" bestFit="1" customWidth="1"/>
    <col min="7" max="7" width="10.28515625" style="15" customWidth="1"/>
    <col min="8" max="8" width="11.7109375" style="15" bestFit="1" customWidth="1"/>
    <col min="9" max="11" width="11.42578125" style="15" customWidth="1"/>
    <col min="12" max="12" width="7.42578125" style="15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4" ht="36" x14ac:dyDescent="0.25">
      <c r="A1" s="46" t="s">
        <v>2</v>
      </c>
      <c r="B1" s="46" t="s">
        <v>3</v>
      </c>
      <c r="C1" s="46" t="s">
        <v>5</v>
      </c>
      <c r="D1" s="46" t="s">
        <v>817</v>
      </c>
      <c r="E1" s="46" t="s">
        <v>7</v>
      </c>
      <c r="F1" s="46" t="s">
        <v>816</v>
      </c>
      <c r="G1" s="46" t="s">
        <v>815</v>
      </c>
      <c r="H1" s="46" t="s">
        <v>814</v>
      </c>
      <c r="I1" s="46" t="s">
        <v>10</v>
      </c>
      <c r="J1" s="46"/>
      <c r="K1" s="46"/>
    </row>
    <row r="2" spans="1:14" ht="36" x14ac:dyDescent="0.25">
      <c r="A2" s="17" t="s">
        <v>14</v>
      </c>
      <c r="B2" s="32">
        <v>13814863</v>
      </c>
      <c r="C2" s="17" t="s">
        <v>11</v>
      </c>
      <c r="D2" s="17" t="s">
        <v>813</v>
      </c>
      <c r="E2" s="20">
        <v>1</v>
      </c>
      <c r="F2" s="20">
        <v>4</v>
      </c>
      <c r="G2" s="17">
        <v>521</v>
      </c>
      <c r="H2" s="18">
        <v>51561.39</v>
      </c>
      <c r="I2" s="17">
        <v>662</v>
      </c>
      <c r="J2" s="33"/>
      <c r="K2" s="33"/>
      <c r="L2" s="30"/>
      <c r="M2" s="30"/>
    </row>
    <row r="3" spans="1:14" x14ac:dyDescent="0.25">
      <c r="A3" s="23"/>
      <c r="B3" s="25"/>
      <c r="C3" s="23"/>
      <c r="D3" s="23"/>
      <c r="E3" s="25"/>
      <c r="F3" s="25"/>
      <c r="G3" s="23"/>
      <c r="H3" s="22"/>
      <c r="I3" s="23"/>
      <c r="J3" s="22"/>
      <c r="K3" s="22"/>
    </row>
    <row r="4" spans="1:14" s="21" customFormat="1" x14ac:dyDescent="0.25"/>
    <row r="5" spans="1:14" x14ac:dyDescent="0.25">
      <c r="A5" s="1"/>
      <c r="B5" s="1"/>
      <c r="C5" s="1"/>
      <c r="D5" s="1"/>
    </row>
    <row r="6" spans="1:14" x14ac:dyDescent="0.25">
      <c r="A6" s="24"/>
      <c r="B6" s="23"/>
      <c r="C6" s="22"/>
      <c r="D6" s="22"/>
    </row>
    <row r="7" spans="1:14" s="21" customFormat="1" x14ac:dyDescent="0.25"/>
    <row r="8" spans="1:14" ht="36" x14ac:dyDescent="0.25">
      <c r="A8" s="46" t="s">
        <v>812</v>
      </c>
      <c r="B8" s="46" t="s">
        <v>811</v>
      </c>
      <c r="C8" s="46" t="s">
        <v>810</v>
      </c>
      <c r="D8" s="46" t="s">
        <v>9</v>
      </c>
      <c r="E8" s="46" t="s">
        <v>809</v>
      </c>
      <c r="F8" s="46" t="s">
        <v>808</v>
      </c>
      <c r="G8" s="46" t="s">
        <v>807</v>
      </c>
      <c r="H8" s="46" t="s">
        <v>806</v>
      </c>
      <c r="I8" s="46" t="s">
        <v>805</v>
      </c>
      <c r="J8" s="46" t="s">
        <v>804</v>
      </c>
      <c r="K8" s="46" t="s">
        <v>803</v>
      </c>
      <c r="L8" s="46" t="s">
        <v>802</v>
      </c>
      <c r="M8" s="46" t="s">
        <v>801</v>
      </c>
    </row>
    <row r="9" spans="1:14" ht="60" x14ac:dyDescent="0.25">
      <c r="A9" s="19" t="s">
        <v>8958</v>
      </c>
      <c r="B9" s="17" t="s">
        <v>8957</v>
      </c>
      <c r="C9" s="20">
        <v>1</v>
      </c>
      <c r="D9" s="18">
        <v>400</v>
      </c>
      <c r="E9" s="20" t="s">
        <v>8956</v>
      </c>
      <c r="F9" s="17" t="s">
        <v>44</v>
      </c>
      <c r="G9" s="19" t="s">
        <v>698</v>
      </c>
      <c r="H9" s="18">
        <v>121.33333333333333</v>
      </c>
      <c r="I9" s="17" t="s">
        <v>481</v>
      </c>
      <c r="J9" s="17" t="s">
        <v>1500</v>
      </c>
      <c r="K9" s="17"/>
      <c r="L9" s="17"/>
      <c r="M9" s="16" t="str">
        <f>HYPERLINK("http://slimages.macys.com/is/image/MCY/18683806 ")</f>
        <v xml:space="preserve">http://slimages.macys.com/is/image/MCY/18683806 </v>
      </c>
      <c r="N9" s="30"/>
    </row>
    <row r="10" spans="1:14" ht="252" x14ac:dyDescent="0.25">
      <c r="A10" s="19" t="s">
        <v>8955</v>
      </c>
      <c r="B10" s="17" t="s">
        <v>8954</v>
      </c>
      <c r="C10" s="20">
        <v>1</v>
      </c>
      <c r="D10" s="18">
        <v>400</v>
      </c>
      <c r="E10" s="20" t="s">
        <v>8953</v>
      </c>
      <c r="F10" s="17" t="s">
        <v>3009</v>
      </c>
      <c r="G10" s="19" t="s">
        <v>74</v>
      </c>
      <c r="H10" s="18">
        <v>88</v>
      </c>
      <c r="I10" s="17" t="s">
        <v>158</v>
      </c>
      <c r="J10" s="17" t="s">
        <v>3005</v>
      </c>
      <c r="K10" s="17" t="s">
        <v>637</v>
      </c>
      <c r="L10" s="17" t="s">
        <v>8952</v>
      </c>
      <c r="M10" s="16" t="str">
        <f>HYPERLINK("http://images.bloomingdales.com/is/image/BLM/11098599 ")</f>
        <v xml:space="preserve">http://images.bloomingdales.com/is/image/BLM/11098599 </v>
      </c>
      <c r="N10" s="30"/>
    </row>
    <row r="11" spans="1:14" ht="60" x14ac:dyDescent="0.25">
      <c r="A11" s="19" t="s">
        <v>8951</v>
      </c>
      <c r="B11" s="17" t="s">
        <v>8950</v>
      </c>
      <c r="C11" s="20">
        <v>1</v>
      </c>
      <c r="D11" s="18">
        <v>240</v>
      </c>
      <c r="E11" s="20" t="s">
        <v>8949</v>
      </c>
      <c r="F11" s="17" t="s">
        <v>28</v>
      </c>
      <c r="G11" s="19" t="s">
        <v>116</v>
      </c>
      <c r="H11" s="18">
        <v>73.333333333333343</v>
      </c>
      <c r="I11" s="17" t="s">
        <v>481</v>
      </c>
      <c r="J11" s="17" t="s">
        <v>1500</v>
      </c>
      <c r="K11" s="17"/>
      <c r="L11" s="17"/>
      <c r="M11" s="16" t="str">
        <f>HYPERLINK("http://slimages.macys.com/is/image/MCY/18683472 ")</f>
        <v xml:space="preserve">http://slimages.macys.com/is/image/MCY/18683472 </v>
      </c>
      <c r="N11" s="30"/>
    </row>
    <row r="12" spans="1:14" ht="60" x14ac:dyDescent="0.25">
      <c r="A12" s="19" t="s">
        <v>8948</v>
      </c>
      <c r="B12" s="17" t="s">
        <v>8947</v>
      </c>
      <c r="C12" s="20">
        <v>1</v>
      </c>
      <c r="D12" s="18">
        <v>200</v>
      </c>
      <c r="E12" s="20" t="s">
        <v>8946</v>
      </c>
      <c r="F12" s="17" t="s">
        <v>198</v>
      </c>
      <c r="G12" s="19" t="s">
        <v>96</v>
      </c>
      <c r="H12" s="18">
        <v>60.666666666666664</v>
      </c>
      <c r="I12" s="17" t="s">
        <v>481</v>
      </c>
      <c r="J12" s="17" t="s">
        <v>1500</v>
      </c>
      <c r="K12" s="17"/>
      <c r="L12" s="17"/>
      <c r="M12" s="16" t="str">
        <f>HYPERLINK("http://slimages.macys.com/is/image/MCY/19108964 ")</f>
        <v xml:space="preserve">http://slimages.macys.com/is/image/MCY/19108964 </v>
      </c>
      <c r="N12" s="30"/>
    </row>
    <row r="13" spans="1:14" ht="60" x14ac:dyDescent="0.25">
      <c r="A13" s="19" t="s">
        <v>8945</v>
      </c>
      <c r="B13" s="17" t="s">
        <v>8944</v>
      </c>
      <c r="C13" s="20">
        <v>1</v>
      </c>
      <c r="D13" s="18">
        <v>188</v>
      </c>
      <c r="E13" s="20" t="s">
        <v>8943</v>
      </c>
      <c r="F13" s="17" t="s">
        <v>149</v>
      </c>
      <c r="G13" s="19"/>
      <c r="H13" s="18">
        <v>56.666666666666671</v>
      </c>
      <c r="I13" s="17" t="s">
        <v>148</v>
      </c>
      <c r="J13" s="17" t="s">
        <v>147</v>
      </c>
      <c r="K13" s="17"/>
      <c r="L13" s="17"/>
      <c r="M13" s="16" t="str">
        <f>HYPERLINK("http://slimages.macys.com/is/image/MCY/18615775 ")</f>
        <v xml:space="preserve">http://slimages.macys.com/is/image/MCY/18615775 </v>
      </c>
      <c r="N13" s="30"/>
    </row>
    <row r="14" spans="1:14" ht="60" x14ac:dyDescent="0.25">
      <c r="A14" s="19" t="s">
        <v>8942</v>
      </c>
      <c r="B14" s="17" t="s">
        <v>8941</v>
      </c>
      <c r="C14" s="20">
        <v>1</v>
      </c>
      <c r="D14" s="18">
        <v>178</v>
      </c>
      <c r="E14" s="20" t="s">
        <v>6991</v>
      </c>
      <c r="F14" s="17" t="s">
        <v>345</v>
      </c>
      <c r="G14" s="19" t="s">
        <v>74</v>
      </c>
      <c r="H14" s="18">
        <v>51.04</v>
      </c>
      <c r="I14" s="17" t="s">
        <v>153</v>
      </c>
      <c r="J14" s="17" t="s">
        <v>153</v>
      </c>
      <c r="K14" s="17" t="s">
        <v>6990</v>
      </c>
      <c r="L14" s="17" t="s">
        <v>6989</v>
      </c>
      <c r="M14" s="16" t="str">
        <f>HYPERLINK("http://images.bloomingdales.com/is/image/BLM/11429273 ")</f>
        <v xml:space="preserve">http://images.bloomingdales.com/is/image/BLM/11429273 </v>
      </c>
      <c r="N14" s="30"/>
    </row>
    <row r="15" spans="1:14" ht="60" x14ac:dyDescent="0.25">
      <c r="A15" s="19" t="s">
        <v>8940</v>
      </c>
      <c r="B15" s="17" t="s">
        <v>8939</v>
      </c>
      <c r="C15" s="20">
        <v>1</v>
      </c>
      <c r="D15" s="18">
        <v>150</v>
      </c>
      <c r="E15" s="20" t="s">
        <v>8938</v>
      </c>
      <c r="F15" s="17" t="s">
        <v>578</v>
      </c>
      <c r="G15" s="19" t="s">
        <v>62</v>
      </c>
      <c r="H15" s="18">
        <v>50</v>
      </c>
      <c r="I15" s="17" t="s">
        <v>133</v>
      </c>
      <c r="J15" s="17" t="s">
        <v>1530</v>
      </c>
      <c r="K15" s="17"/>
      <c r="L15" s="17"/>
      <c r="M15" s="16" t="str">
        <f>HYPERLINK("http://slimages.macys.com/is/image/MCY/18899970 ")</f>
        <v xml:space="preserve">http://slimages.macys.com/is/image/MCY/18899970 </v>
      </c>
      <c r="N15" s="30"/>
    </row>
    <row r="16" spans="1:14" ht="60" x14ac:dyDescent="0.25">
      <c r="A16" s="19" t="s">
        <v>8937</v>
      </c>
      <c r="B16" s="17" t="s">
        <v>8936</v>
      </c>
      <c r="C16" s="20">
        <v>1</v>
      </c>
      <c r="D16" s="18">
        <v>150</v>
      </c>
      <c r="E16" s="20" t="s">
        <v>6172</v>
      </c>
      <c r="F16" s="17" t="s">
        <v>23</v>
      </c>
      <c r="G16" s="19" t="s">
        <v>698</v>
      </c>
      <c r="H16" s="18">
        <v>46.000000000000007</v>
      </c>
      <c r="I16" s="17" t="s">
        <v>481</v>
      </c>
      <c r="J16" s="17" t="s">
        <v>1500</v>
      </c>
      <c r="K16" s="17"/>
      <c r="L16" s="17"/>
      <c r="M16" s="16" t="str">
        <f>HYPERLINK("http://slimages.macys.com/is/image/MCY/18947139 ")</f>
        <v xml:space="preserve">http://slimages.macys.com/is/image/MCY/18947139 </v>
      </c>
      <c r="N16" s="30"/>
    </row>
    <row r="17" spans="1:14" ht="60" x14ac:dyDescent="0.25">
      <c r="A17" s="19" t="s">
        <v>8935</v>
      </c>
      <c r="B17" s="17" t="s">
        <v>8934</v>
      </c>
      <c r="C17" s="20">
        <v>1</v>
      </c>
      <c r="D17" s="18">
        <v>158</v>
      </c>
      <c r="E17" s="20" t="s">
        <v>8933</v>
      </c>
      <c r="F17" s="17" t="s">
        <v>91</v>
      </c>
      <c r="G17" s="19" t="s">
        <v>3210</v>
      </c>
      <c r="H17" s="18">
        <v>45.24</v>
      </c>
      <c r="I17" s="17" t="s">
        <v>756</v>
      </c>
      <c r="J17" s="17" t="s">
        <v>153</v>
      </c>
      <c r="K17" s="17"/>
      <c r="L17" s="17"/>
      <c r="M17" s="16" t="str">
        <f>HYPERLINK("http://slimages.macys.com/is/image/MCY/20103478 ")</f>
        <v xml:space="preserve">http://slimages.macys.com/is/image/MCY/20103478 </v>
      </c>
      <c r="N17" s="30"/>
    </row>
    <row r="18" spans="1:14" ht="108" x14ac:dyDescent="0.25">
      <c r="A18" s="19" t="s">
        <v>8932</v>
      </c>
      <c r="B18" s="17" t="s">
        <v>8931</v>
      </c>
      <c r="C18" s="20">
        <v>1</v>
      </c>
      <c r="D18" s="18">
        <v>198</v>
      </c>
      <c r="E18" s="20" t="s">
        <v>8930</v>
      </c>
      <c r="F18" s="17" t="s">
        <v>555</v>
      </c>
      <c r="G18" s="19"/>
      <c r="H18" s="18">
        <v>42</v>
      </c>
      <c r="I18" s="17" t="s">
        <v>148</v>
      </c>
      <c r="J18" s="17" t="s">
        <v>147</v>
      </c>
      <c r="K18" s="17" t="s">
        <v>637</v>
      </c>
      <c r="L18" s="17" t="s">
        <v>8929</v>
      </c>
      <c r="M18" s="16" t="str">
        <f>HYPERLINK("http://images.bloomingdales.com/is/image/BLM/11212296 ")</f>
        <v xml:space="preserve">http://images.bloomingdales.com/is/image/BLM/11212296 </v>
      </c>
      <c r="N18" s="30"/>
    </row>
    <row r="19" spans="1:14" ht="60" x14ac:dyDescent="0.25">
      <c r="A19" s="19" t="s">
        <v>8928</v>
      </c>
      <c r="B19" s="17" t="s">
        <v>8927</v>
      </c>
      <c r="C19" s="20">
        <v>1</v>
      </c>
      <c r="D19" s="18">
        <v>138</v>
      </c>
      <c r="E19" s="20" t="s">
        <v>8926</v>
      </c>
      <c r="F19" s="17" t="s">
        <v>23</v>
      </c>
      <c r="G19" s="19" t="s">
        <v>197</v>
      </c>
      <c r="H19" s="18">
        <v>39.440000000000005</v>
      </c>
      <c r="I19" s="17" t="s">
        <v>153</v>
      </c>
      <c r="J19" s="17" t="s">
        <v>153</v>
      </c>
      <c r="K19" s="17"/>
      <c r="L19" s="17"/>
      <c r="M19" s="16" t="str">
        <f>HYPERLINK("http://slimages.macys.com/is/image/MCY/18447433 ")</f>
        <v xml:space="preserve">http://slimages.macys.com/is/image/MCY/18447433 </v>
      </c>
      <c r="N19" s="30"/>
    </row>
    <row r="20" spans="1:14" ht="60" x14ac:dyDescent="0.25">
      <c r="A20" s="19" t="s">
        <v>8925</v>
      </c>
      <c r="B20" s="17" t="s">
        <v>8924</v>
      </c>
      <c r="C20" s="20">
        <v>1</v>
      </c>
      <c r="D20" s="18">
        <v>178</v>
      </c>
      <c r="E20" s="20" t="s">
        <v>8923</v>
      </c>
      <c r="F20" s="17" t="s">
        <v>23</v>
      </c>
      <c r="G20" s="19" t="s">
        <v>69</v>
      </c>
      <c r="H20" s="18">
        <v>39.306666666666665</v>
      </c>
      <c r="I20" s="17" t="s">
        <v>153</v>
      </c>
      <c r="J20" s="17" t="s">
        <v>153</v>
      </c>
      <c r="K20" s="17"/>
      <c r="L20" s="17"/>
      <c r="M20" s="16" t="str">
        <f>HYPERLINK("http://slimages.macys.com/is/image/MCY/19010821 ")</f>
        <v xml:space="preserve">http://slimages.macys.com/is/image/MCY/19010821 </v>
      </c>
      <c r="N20" s="30"/>
    </row>
    <row r="21" spans="1:14" ht="60" x14ac:dyDescent="0.25">
      <c r="A21" s="19" t="s">
        <v>8922</v>
      </c>
      <c r="B21" s="17" t="s">
        <v>8921</v>
      </c>
      <c r="C21" s="20">
        <v>1</v>
      </c>
      <c r="D21" s="18">
        <v>120</v>
      </c>
      <c r="E21" s="20" t="s">
        <v>8920</v>
      </c>
      <c r="F21" s="17" t="s">
        <v>28</v>
      </c>
      <c r="G21" s="19" t="s">
        <v>898</v>
      </c>
      <c r="H21" s="18">
        <v>36.666666666666671</v>
      </c>
      <c r="I21" s="17" t="s">
        <v>481</v>
      </c>
      <c r="J21" s="17" t="s">
        <v>1500</v>
      </c>
      <c r="K21" s="17"/>
      <c r="L21" s="17"/>
      <c r="M21" s="16" t="str">
        <f>HYPERLINK("http://slimages.macys.com/is/image/MCY/18851915 ")</f>
        <v xml:space="preserve">http://slimages.macys.com/is/image/MCY/18851915 </v>
      </c>
      <c r="N21" s="30"/>
    </row>
    <row r="22" spans="1:14" ht="60" x14ac:dyDescent="0.25">
      <c r="A22" s="19" t="s">
        <v>8919</v>
      </c>
      <c r="B22" s="17" t="s">
        <v>8918</v>
      </c>
      <c r="C22" s="20">
        <v>1</v>
      </c>
      <c r="D22" s="18">
        <v>120</v>
      </c>
      <c r="E22" s="20" t="s">
        <v>8917</v>
      </c>
      <c r="F22" s="17" t="s">
        <v>413</v>
      </c>
      <c r="G22" s="19" t="s">
        <v>857</v>
      </c>
      <c r="H22" s="18">
        <v>36.666666666666671</v>
      </c>
      <c r="I22" s="17" t="s">
        <v>481</v>
      </c>
      <c r="J22" s="17" t="s">
        <v>1500</v>
      </c>
      <c r="K22" s="17"/>
      <c r="L22" s="17"/>
      <c r="M22" s="16" t="str">
        <f>HYPERLINK("http://slimages.macys.com/is/image/MCY/18851819 ")</f>
        <v xml:space="preserve">http://slimages.macys.com/is/image/MCY/18851819 </v>
      </c>
      <c r="N22" s="30"/>
    </row>
    <row r="23" spans="1:14" ht="60" x14ac:dyDescent="0.25">
      <c r="A23" s="19" t="s">
        <v>8916</v>
      </c>
      <c r="B23" s="17" t="s">
        <v>8915</v>
      </c>
      <c r="C23" s="20">
        <v>1</v>
      </c>
      <c r="D23" s="18">
        <v>148</v>
      </c>
      <c r="E23" s="20" t="s">
        <v>4068</v>
      </c>
      <c r="F23" s="17"/>
      <c r="G23" s="19" t="s">
        <v>74</v>
      </c>
      <c r="H23" s="18">
        <v>35.4</v>
      </c>
      <c r="I23" s="17" t="s">
        <v>133</v>
      </c>
      <c r="J23" s="17" t="s">
        <v>132</v>
      </c>
      <c r="K23" s="17" t="s">
        <v>637</v>
      </c>
      <c r="L23" s="17" t="s">
        <v>4067</v>
      </c>
      <c r="M23" s="16" t="str">
        <f>HYPERLINK("http://images.bloomingdales.com/is/image/BLM/11474927 ")</f>
        <v xml:space="preserve">http://images.bloomingdales.com/is/image/BLM/11474927 </v>
      </c>
      <c r="N23" s="30"/>
    </row>
    <row r="24" spans="1:14" ht="60" x14ac:dyDescent="0.25">
      <c r="A24" s="19" t="s">
        <v>8914</v>
      </c>
      <c r="B24" s="17" t="s">
        <v>8913</v>
      </c>
      <c r="C24" s="20">
        <v>1</v>
      </c>
      <c r="D24" s="18">
        <v>159</v>
      </c>
      <c r="E24" s="20">
        <v>10771736</v>
      </c>
      <c r="F24" s="17" t="s">
        <v>23</v>
      </c>
      <c r="G24" s="19" t="s">
        <v>857</v>
      </c>
      <c r="H24" s="18">
        <v>34.980000000000004</v>
      </c>
      <c r="I24" s="17" t="s">
        <v>115</v>
      </c>
      <c r="J24" s="17" t="s">
        <v>114</v>
      </c>
      <c r="K24" s="17"/>
      <c r="L24" s="17"/>
      <c r="M24" s="16" t="str">
        <f>HYPERLINK("http://slimages.macys.com/is/image/MCY/18104157 ")</f>
        <v xml:space="preserve">http://slimages.macys.com/is/image/MCY/18104157 </v>
      </c>
      <c r="N24" s="30"/>
    </row>
    <row r="25" spans="1:14" ht="108" x14ac:dyDescent="0.25">
      <c r="A25" s="19" t="s">
        <v>8912</v>
      </c>
      <c r="B25" s="17" t="s">
        <v>8911</v>
      </c>
      <c r="C25" s="20">
        <v>1</v>
      </c>
      <c r="D25" s="18">
        <v>148</v>
      </c>
      <c r="E25" s="20" t="s">
        <v>8910</v>
      </c>
      <c r="F25" s="17" t="s">
        <v>51</v>
      </c>
      <c r="G25" s="19" t="s">
        <v>857</v>
      </c>
      <c r="H25" s="18">
        <v>34.533333333333331</v>
      </c>
      <c r="I25" s="17" t="s">
        <v>133</v>
      </c>
      <c r="J25" s="17" t="s">
        <v>584</v>
      </c>
      <c r="K25" s="17" t="s">
        <v>389</v>
      </c>
      <c r="L25" s="17" t="s">
        <v>1441</v>
      </c>
      <c r="M25" s="16" t="str">
        <f>HYPERLINK("http://slimages.macys.com/is/image/MCY/16077505 ")</f>
        <v xml:space="preserve">http://slimages.macys.com/is/image/MCY/16077505 </v>
      </c>
      <c r="N25" s="30"/>
    </row>
    <row r="26" spans="1:14" ht="60" x14ac:dyDescent="0.25">
      <c r="A26" s="19" t="s">
        <v>8909</v>
      </c>
      <c r="B26" s="17" t="s">
        <v>8908</v>
      </c>
      <c r="C26" s="20">
        <v>1</v>
      </c>
      <c r="D26" s="18">
        <v>129</v>
      </c>
      <c r="E26" s="20" t="s">
        <v>8907</v>
      </c>
      <c r="F26" s="17" t="s">
        <v>51</v>
      </c>
      <c r="G26" s="19" t="s">
        <v>96</v>
      </c>
      <c r="H26" s="18">
        <v>34.400000000000006</v>
      </c>
      <c r="I26" s="17" t="s">
        <v>678</v>
      </c>
      <c r="J26" s="17" t="s">
        <v>404</v>
      </c>
      <c r="K26" s="17" t="s">
        <v>389</v>
      </c>
      <c r="L26" s="17" t="s">
        <v>1359</v>
      </c>
      <c r="M26" s="16" t="str">
        <f>HYPERLINK("http://slimages.macys.com/is/image/MCY/11417063 ")</f>
        <v xml:space="preserve">http://slimages.macys.com/is/image/MCY/11417063 </v>
      </c>
      <c r="N26" s="30"/>
    </row>
    <row r="27" spans="1:14" ht="60" x14ac:dyDescent="0.25">
      <c r="A27" s="19" t="s">
        <v>8906</v>
      </c>
      <c r="B27" s="17" t="s">
        <v>8905</v>
      </c>
      <c r="C27" s="20">
        <v>1</v>
      </c>
      <c r="D27" s="18">
        <v>100</v>
      </c>
      <c r="E27" s="20" t="s">
        <v>8904</v>
      </c>
      <c r="F27" s="17" t="s">
        <v>28</v>
      </c>
      <c r="G27" s="19" t="s">
        <v>898</v>
      </c>
      <c r="H27" s="18">
        <v>30.666666666666664</v>
      </c>
      <c r="I27" s="17" t="s">
        <v>481</v>
      </c>
      <c r="J27" s="17" t="s">
        <v>1500</v>
      </c>
      <c r="K27" s="17" t="s">
        <v>6136</v>
      </c>
      <c r="L27" s="17" t="s">
        <v>8903</v>
      </c>
      <c r="M27" s="16" t="str">
        <f>HYPERLINK("http://images.bloomingdales.com/is/image/BLM/11330131 ")</f>
        <v xml:space="preserve">http://images.bloomingdales.com/is/image/BLM/11330131 </v>
      </c>
      <c r="N27" s="30"/>
    </row>
    <row r="28" spans="1:14" ht="60" x14ac:dyDescent="0.25">
      <c r="A28" s="19" t="s">
        <v>8902</v>
      </c>
      <c r="B28" s="17" t="s">
        <v>8901</v>
      </c>
      <c r="C28" s="20">
        <v>1</v>
      </c>
      <c r="D28" s="18">
        <v>100</v>
      </c>
      <c r="E28" s="20" t="s">
        <v>8900</v>
      </c>
      <c r="F28" s="17" t="s">
        <v>23</v>
      </c>
      <c r="G28" s="19" t="s">
        <v>96</v>
      </c>
      <c r="H28" s="18">
        <v>30.666666666666664</v>
      </c>
      <c r="I28" s="17" t="s">
        <v>481</v>
      </c>
      <c r="J28" s="17" t="s">
        <v>1500</v>
      </c>
      <c r="K28" s="17" t="s">
        <v>6136</v>
      </c>
      <c r="L28" s="17" t="s">
        <v>8899</v>
      </c>
      <c r="M28" s="16" t="str">
        <f>HYPERLINK("http://images.bloomingdales.com/is/image/BLM/11279282 ")</f>
        <v xml:space="preserve">http://images.bloomingdales.com/is/image/BLM/11279282 </v>
      </c>
      <c r="N28" s="30"/>
    </row>
    <row r="29" spans="1:14" ht="60" x14ac:dyDescent="0.25">
      <c r="A29" s="19" t="s">
        <v>8898</v>
      </c>
      <c r="B29" s="17" t="s">
        <v>8897</v>
      </c>
      <c r="C29" s="20">
        <v>1</v>
      </c>
      <c r="D29" s="18">
        <v>128</v>
      </c>
      <c r="E29" s="20" t="s">
        <v>7776</v>
      </c>
      <c r="F29" s="17" t="s">
        <v>1536</v>
      </c>
      <c r="G29" s="19" t="s">
        <v>96</v>
      </c>
      <c r="H29" s="18">
        <v>30.573333333333338</v>
      </c>
      <c r="I29" s="17" t="s">
        <v>133</v>
      </c>
      <c r="J29" s="17" t="s">
        <v>584</v>
      </c>
      <c r="K29" s="17"/>
      <c r="L29" s="17"/>
      <c r="M29" s="16" t="str">
        <f>HYPERLINK("http://slimages.macys.com/is/image/MCY/18742573 ")</f>
        <v xml:space="preserve">http://slimages.macys.com/is/image/MCY/18742573 </v>
      </c>
      <c r="N29" s="30"/>
    </row>
    <row r="30" spans="1:14" ht="108" x14ac:dyDescent="0.25">
      <c r="A30" s="19" t="s">
        <v>8896</v>
      </c>
      <c r="B30" s="17" t="s">
        <v>8895</v>
      </c>
      <c r="C30" s="20">
        <v>1</v>
      </c>
      <c r="D30" s="18">
        <v>96.75</v>
      </c>
      <c r="E30" s="20" t="s">
        <v>6938</v>
      </c>
      <c r="F30" s="17" t="s">
        <v>330</v>
      </c>
      <c r="G30" s="19" t="s">
        <v>644</v>
      </c>
      <c r="H30" s="18">
        <v>30.099999999999998</v>
      </c>
      <c r="I30" s="17" t="s">
        <v>33</v>
      </c>
      <c r="J30" s="17" t="s">
        <v>496</v>
      </c>
      <c r="K30" s="17" t="s">
        <v>389</v>
      </c>
      <c r="L30" s="17" t="s">
        <v>6937</v>
      </c>
      <c r="M30" s="16" t="str">
        <f>HYPERLINK("http://slimages.macys.com/is/image/MCY/9702171 ")</f>
        <v xml:space="preserve">http://slimages.macys.com/is/image/MCY/9702171 </v>
      </c>
      <c r="N30" s="30"/>
    </row>
    <row r="31" spans="1:14" ht="108" x14ac:dyDescent="0.25">
      <c r="A31" s="19" t="s">
        <v>6940</v>
      </c>
      <c r="B31" s="17" t="s">
        <v>6939</v>
      </c>
      <c r="C31" s="20">
        <v>1</v>
      </c>
      <c r="D31" s="18">
        <v>96.75</v>
      </c>
      <c r="E31" s="20" t="s">
        <v>6938</v>
      </c>
      <c r="F31" s="17" t="s">
        <v>330</v>
      </c>
      <c r="G31" s="19" t="s">
        <v>4021</v>
      </c>
      <c r="H31" s="18">
        <v>30.099999999999998</v>
      </c>
      <c r="I31" s="17" t="s">
        <v>33</v>
      </c>
      <c r="J31" s="17" t="s">
        <v>496</v>
      </c>
      <c r="K31" s="17" t="s">
        <v>389</v>
      </c>
      <c r="L31" s="17" t="s">
        <v>6937</v>
      </c>
      <c r="M31" s="16" t="str">
        <f>HYPERLINK("http://slimages.macys.com/is/image/MCY/9702171 ")</f>
        <v xml:space="preserve">http://slimages.macys.com/is/image/MCY/9702171 </v>
      </c>
      <c r="N31" s="30"/>
    </row>
    <row r="32" spans="1:14" ht="60" x14ac:dyDescent="0.25">
      <c r="A32" s="19" t="s">
        <v>8894</v>
      </c>
      <c r="B32" s="17" t="s">
        <v>8893</v>
      </c>
      <c r="C32" s="20">
        <v>1</v>
      </c>
      <c r="D32" s="18">
        <v>111.75</v>
      </c>
      <c r="E32" s="20" t="s">
        <v>8892</v>
      </c>
      <c r="F32" s="17" t="s">
        <v>23</v>
      </c>
      <c r="G32" s="19" t="s">
        <v>1191</v>
      </c>
      <c r="H32" s="18">
        <v>30.006666666666671</v>
      </c>
      <c r="I32" s="17" t="s">
        <v>358</v>
      </c>
      <c r="J32" s="17" t="s">
        <v>32</v>
      </c>
      <c r="K32" s="17"/>
      <c r="L32" s="17"/>
      <c r="M32" s="16" t="str">
        <f>HYPERLINK("http://slimages.macys.com/is/image/MCY/19002219 ")</f>
        <v xml:space="preserve">http://slimages.macys.com/is/image/MCY/19002219 </v>
      </c>
      <c r="N32" s="30"/>
    </row>
    <row r="33" spans="1:14" ht="60" x14ac:dyDescent="0.25">
      <c r="A33" s="19" t="s">
        <v>8891</v>
      </c>
      <c r="B33" s="17" t="s">
        <v>8890</v>
      </c>
      <c r="C33" s="20">
        <v>2</v>
      </c>
      <c r="D33" s="18">
        <v>149</v>
      </c>
      <c r="E33" s="20">
        <v>10803218</v>
      </c>
      <c r="F33" s="17" t="s">
        <v>282</v>
      </c>
      <c r="G33" s="19" t="s">
        <v>139</v>
      </c>
      <c r="H33" s="18">
        <v>29.8</v>
      </c>
      <c r="I33" s="17" t="s">
        <v>358</v>
      </c>
      <c r="J33" s="17" t="s">
        <v>554</v>
      </c>
      <c r="K33" s="17"/>
      <c r="L33" s="17"/>
      <c r="M33" s="16" t="str">
        <f>HYPERLINK("http://slimages.macys.com/is/image/MCY/18874174 ")</f>
        <v xml:space="preserve">http://slimages.macys.com/is/image/MCY/18874174 </v>
      </c>
      <c r="N33" s="30"/>
    </row>
    <row r="34" spans="1:14" ht="60" x14ac:dyDescent="0.25">
      <c r="A34" s="19" t="s">
        <v>8889</v>
      </c>
      <c r="B34" s="17" t="s">
        <v>8888</v>
      </c>
      <c r="C34" s="20">
        <v>1</v>
      </c>
      <c r="D34" s="18">
        <v>149</v>
      </c>
      <c r="E34" s="20">
        <v>10803218</v>
      </c>
      <c r="F34" s="17" t="s">
        <v>282</v>
      </c>
      <c r="G34" s="19" t="s">
        <v>351</v>
      </c>
      <c r="H34" s="18">
        <v>29.8</v>
      </c>
      <c r="I34" s="17" t="s">
        <v>358</v>
      </c>
      <c r="J34" s="17" t="s">
        <v>554</v>
      </c>
      <c r="K34" s="17"/>
      <c r="L34" s="17"/>
      <c r="M34" s="16" t="str">
        <f>HYPERLINK("http://slimages.macys.com/is/image/MCY/18874174 ")</f>
        <v xml:space="preserve">http://slimages.macys.com/is/image/MCY/18874174 </v>
      </c>
      <c r="N34" s="30"/>
    </row>
    <row r="35" spans="1:14" ht="60" x14ac:dyDescent="0.25">
      <c r="A35" s="19" t="s">
        <v>8887</v>
      </c>
      <c r="B35" s="17" t="s">
        <v>8886</v>
      </c>
      <c r="C35" s="20">
        <v>2</v>
      </c>
      <c r="D35" s="18">
        <v>149</v>
      </c>
      <c r="E35" s="20">
        <v>10803218</v>
      </c>
      <c r="F35" s="17" t="s">
        <v>282</v>
      </c>
      <c r="G35" s="19" t="s">
        <v>271</v>
      </c>
      <c r="H35" s="18">
        <v>29.8</v>
      </c>
      <c r="I35" s="17" t="s">
        <v>358</v>
      </c>
      <c r="J35" s="17" t="s">
        <v>554</v>
      </c>
      <c r="K35" s="17"/>
      <c r="L35" s="17"/>
      <c r="M35" s="16" t="str">
        <f>HYPERLINK("http://slimages.macys.com/is/image/MCY/18874174 ")</f>
        <v xml:space="preserve">http://slimages.macys.com/is/image/MCY/18874174 </v>
      </c>
      <c r="N35" s="30"/>
    </row>
    <row r="36" spans="1:14" ht="60" x14ac:dyDescent="0.25">
      <c r="A36" s="19" t="s">
        <v>8885</v>
      </c>
      <c r="B36" s="17" t="s">
        <v>8884</v>
      </c>
      <c r="C36" s="20">
        <v>1</v>
      </c>
      <c r="D36" s="18">
        <v>110</v>
      </c>
      <c r="E36" s="20">
        <v>1009</v>
      </c>
      <c r="F36" s="17" t="s">
        <v>149</v>
      </c>
      <c r="G36" s="19" t="s">
        <v>69</v>
      </c>
      <c r="H36" s="18">
        <v>29.333333333333336</v>
      </c>
      <c r="I36" s="17" t="s">
        <v>133</v>
      </c>
      <c r="J36" s="17" t="s">
        <v>1480</v>
      </c>
      <c r="K36" s="17"/>
      <c r="L36" s="17"/>
      <c r="M36" s="16" t="str">
        <f>HYPERLINK("http://slimages.macys.com/is/image/MCY/19008827 ")</f>
        <v xml:space="preserve">http://slimages.macys.com/is/image/MCY/19008827 </v>
      </c>
      <c r="N36" s="30"/>
    </row>
    <row r="37" spans="1:14" ht="60" x14ac:dyDescent="0.25">
      <c r="A37" s="19" t="s">
        <v>8883</v>
      </c>
      <c r="B37" s="17" t="s">
        <v>8882</v>
      </c>
      <c r="C37" s="20">
        <v>1</v>
      </c>
      <c r="D37" s="18">
        <v>95</v>
      </c>
      <c r="E37" s="20" t="s">
        <v>8873</v>
      </c>
      <c r="F37" s="17" t="s">
        <v>91</v>
      </c>
      <c r="G37" s="19" t="s">
        <v>57</v>
      </c>
      <c r="H37" s="18">
        <v>28.666666666666668</v>
      </c>
      <c r="I37" s="17" t="s">
        <v>133</v>
      </c>
      <c r="J37" s="17" t="s">
        <v>1437</v>
      </c>
      <c r="K37" s="17" t="s">
        <v>3965</v>
      </c>
      <c r="L37" s="17" t="s">
        <v>7618</v>
      </c>
      <c r="M37" s="16" t="str">
        <f>HYPERLINK("http://images.bloomingdales.com/is/image/BLM/11638171 ")</f>
        <v xml:space="preserve">http://images.bloomingdales.com/is/image/BLM/11638171 </v>
      </c>
      <c r="N37" s="30"/>
    </row>
    <row r="38" spans="1:14" ht="60" x14ac:dyDescent="0.25">
      <c r="A38" s="19" t="s">
        <v>8881</v>
      </c>
      <c r="B38" s="17" t="s">
        <v>8880</v>
      </c>
      <c r="C38" s="20">
        <v>2</v>
      </c>
      <c r="D38" s="18">
        <v>95</v>
      </c>
      <c r="E38" s="20" t="s">
        <v>8873</v>
      </c>
      <c r="F38" s="17" t="s">
        <v>91</v>
      </c>
      <c r="G38" s="19" t="s">
        <v>197</v>
      </c>
      <c r="H38" s="18">
        <v>28.666666666666668</v>
      </c>
      <c r="I38" s="17" t="s">
        <v>133</v>
      </c>
      <c r="J38" s="17" t="s">
        <v>1437</v>
      </c>
      <c r="K38" s="17" t="s">
        <v>3965</v>
      </c>
      <c r="L38" s="17" t="s">
        <v>7618</v>
      </c>
      <c r="M38" s="16" t="str">
        <f>HYPERLINK("http://images.bloomingdales.com/is/image/BLM/11638171 ")</f>
        <v xml:space="preserve">http://images.bloomingdales.com/is/image/BLM/11638171 </v>
      </c>
      <c r="N38" s="30"/>
    </row>
    <row r="39" spans="1:14" ht="60" x14ac:dyDescent="0.25">
      <c r="A39" s="19" t="s">
        <v>8879</v>
      </c>
      <c r="B39" s="17" t="s">
        <v>8878</v>
      </c>
      <c r="C39" s="20">
        <v>3</v>
      </c>
      <c r="D39" s="18">
        <v>95</v>
      </c>
      <c r="E39" s="20" t="s">
        <v>8873</v>
      </c>
      <c r="F39" s="17" t="s">
        <v>91</v>
      </c>
      <c r="G39" s="19" t="s">
        <v>74</v>
      </c>
      <c r="H39" s="18">
        <v>28.666666666666668</v>
      </c>
      <c r="I39" s="17" t="s">
        <v>133</v>
      </c>
      <c r="J39" s="17" t="s">
        <v>1437</v>
      </c>
      <c r="K39" s="17" t="s">
        <v>3965</v>
      </c>
      <c r="L39" s="17" t="s">
        <v>7618</v>
      </c>
      <c r="M39" s="16" t="str">
        <f>HYPERLINK("http://images.bloomingdales.com/is/image/BLM/11638171 ")</f>
        <v xml:space="preserve">http://images.bloomingdales.com/is/image/BLM/11638171 </v>
      </c>
      <c r="N39" s="30"/>
    </row>
    <row r="40" spans="1:14" ht="60" x14ac:dyDescent="0.25">
      <c r="A40" s="19" t="s">
        <v>8877</v>
      </c>
      <c r="B40" s="17" t="s">
        <v>8876</v>
      </c>
      <c r="C40" s="20">
        <v>3</v>
      </c>
      <c r="D40" s="18">
        <v>95</v>
      </c>
      <c r="E40" s="20" t="s">
        <v>8873</v>
      </c>
      <c r="F40" s="17" t="s">
        <v>91</v>
      </c>
      <c r="G40" s="19" t="s">
        <v>69</v>
      </c>
      <c r="H40" s="18">
        <v>28.666666666666668</v>
      </c>
      <c r="I40" s="17" t="s">
        <v>133</v>
      </c>
      <c r="J40" s="17" t="s">
        <v>1437</v>
      </c>
      <c r="K40" s="17" t="s">
        <v>3965</v>
      </c>
      <c r="L40" s="17" t="s">
        <v>7618</v>
      </c>
      <c r="M40" s="16" t="str">
        <f>HYPERLINK("http://images.bloomingdales.com/is/image/BLM/11638171 ")</f>
        <v xml:space="preserve">http://images.bloomingdales.com/is/image/BLM/11638171 </v>
      </c>
      <c r="N40" s="30"/>
    </row>
    <row r="41" spans="1:14" ht="60" x14ac:dyDescent="0.25">
      <c r="A41" s="19" t="s">
        <v>8875</v>
      </c>
      <c r="B41" s="17" t="s">
        <v>8874</v>
      </c>
      <c r="C41" s="20">
        <v>3</v>
      </c>
      <c r="D41" s="18">
        <v>95</v>
      </c>
      <c r="E41" s="20" t="s">
        <v>8873</v>
      </c>
      <c r="F41" s="17" t="s">
        <v>91</v>
      </c>
      <c r="G41" s="19" t="s">
        <v>62</v>
      </c>
      <c r="H41" s="18">
        <v>28.666666666666668</v>
      </c>
      <c r="I41" s="17" t="s">
        <v>133</v>
      </c>
      <c r="J41" s="17" t="s">
        <v>1437</v>
      </c>
      <c r="K41" s="17" t="s">
        <v>3965</v>
      </c>
      <c r="L41" s="17" t="s">
        <v>7618</v>
      </c>
      <c r="M41" s="16" t="str">
        <f>HYPERLINK("http://images.bloomingdales.com/is/image/BLM/11638171 ")</f>
        <v xml:space="preserve">http://images.bloomingdales.com/is/image/BLM/11638171 </v>
      </c>
      <c r="N41" s="30"/>
    </row>
    <row r="42" spans="1:14" ht="108" x14ac:dyDescent="0.25">
      <c r="A42" s="19" t="s">
        <v>8872</v>
      </c>
      <c r="B42" s="17" t="s">
        <v>8871</v>
      </c>
      <c r="C42" s="20">
        <v>1</v>
      </c>
      <c r="D42" s="18">
        <v>119</v>
      </c>
      <c r="E42" s="20" t="s">
        <v>1442</v>
      </c>
      <c r="F42" s="17" t="s">
        <v>91</v>
      </c>
      <c r="G42" s="19" t="s">
        <v>682</v>
      </c>
      <c r="H42" s="18">
        <v>28.533333333333335</v>
      </c>
      <c r="I42" s="17" t="s">
        <v>678</v>
      </c>
      <c r="J42" s="17" t="s">
        <v>404</v>
      </c>
      <c r="K42" s="17" t="s">
        <v>389</v>
      </c>
      <c r="L42" s="17" t="s">
        <v>1441</v>
      </c>
      <c r="M42" s="16" t="str">
        <f>HYPERLINK("http://slimages.macys.com/is/image/MCY/9583053 ")</f>
        <v xml:space="preserve">http://slimages.macys.com/is/image/MCY/9583053 </v>
      </c>
      <c r="N42" s="30"/>
    </row>
    <row r="43" spans="1:14" ht="60" x14ac:dyDescent="0.25">
      <c r="A43" s="19" t="s">
        <v>8870</v>
      </c>
      <c r="B43" s="17" t="s">
        <v>8869</v>
      </c>
      <c r="C43" s="20">
        <v>1</v>
      </c>
      <c r="D43" s="18">
        <v>129</v>
      </c>
      <c r="E43" s="20">
        <v>10798628</v>
      </c>
      <c r="F43" s="17" t="s">
        <v>35</v>
      </c>
      <c r="G43" s="19" t="s">
        <v>658</v>
      </c>
      <c r="H43" s="18">
        <v>28.38</v>
      </c>
      <c r="I43" s="17" t="s">
        <v>115</v>
      </c>
      <c r="J43" s="17" t="s">
        <v>114</v>
      </c>
      <c r="K43" s="17"/>
      <c r="L43" s="17"/>
      <c r="M43" s="16" t="str">
        <f>HYPERLINK("http://slimages.macys.com/is/image/MCY/18544635 ")</f>
        <v xml:space="preserve">http://slimages.macys.com/is/image/MCY/18544635 </v>
      </c>
      <c r="N43" s="30"/>
    </row>
    <row r="44" spans="1:14" ht="60" x14ac:dyDescent="0.25">
      <c r="A44" s="19" t="s">
        <v>8868</v>
      </c>
      <c r="B44" s="17" t="s">
        <v>8867</v>
      </c>
      <c r="C44" s="20">
        <v>1</v>
      </c>
      <c r="D44" s="18">
        <v>128</v>
      </c>
      <c r="E44" s="20" t="s">
        <v>6918</v>
      </c>
      <c r="F44" s="17" t="s">
        <v>58</v>
      </c>
      <c r="G44" s="19" t="s">
        <v>17</v>
      </c>
      <c r="H44" s="18">
        <v>28.24666666666667</v>
      </c>
      <c r="I44" s="17" t="s">
        <v>49</v>
      </c>
      <c r="J44" s="17" t="s">
        <v>48</v>
      </c>
      <c r="K44" s="17"/>
      <c r="L44" s="17"/>
      <c r="M44" s="16" t="str">
        <f>HYPERLINK("http://slimages.macys.com/is/image/MCY/18749889 ")</f>
        <v xml:space="preserve">http://slimages.macys.com/is/image/MCY/18749889 </v>
      </c>
      <c r="N44" s="30"/>
    </row>
    <row r="45" spans="1:14" ht="60" x14ac:dyDescent="0.25">
      <c r="A45" s="19" t="s">
        <v>6920</v>
      </c>
      <c r="B45" s="17" t="s">
        <v>6919</v>
      </c>
      <c r="C45" s="20">
        <v>1</v>
      </c>
      <c r="D45" s="18">
        <v>128</v>
      </c>
      <c r="E45" s="20" t="s">
        <v>6918</v>
      </c>
      <c r="F45" s="17" t="s">
        <v>58</v>
      </c>
      <c r="G45" s="19" t="s">
        <v>101</v>
      </c>
      <c r="H45" s="18">
        <v>28.24666666666667</v>
      </c>
      <c r="I45" s="17" t="s">
        <v>49</v>
      </c>
      <c r="J45" s="17" t="s">
        <v>48</v>
      </c>
      <c r="K45" s="17"/>
      <c r="L45" s="17"/>
      <c r="M45" s="16" t="str">
        <f>HYPERLINK("http://slimages.macys.com/is/image/MCY/18749889 ")</f>
        <v xml:space="preserve">http://slimages.macys.com/is/image/MCY/18749889 </v>
      </c>
      <c r="N45" s="30"/>
    </row>
    <row r="46" spans="1:14" ht="60" x14ac:dyDescent="0.25">
      <c r="A46" s="19" t="s">
        <v>8866</v>
      </c>
      <c r="B46" s="17" t="s">
        <v>8865</v>
      </c>
      <c r="C46" s="20">
        <v>1</v>
      </c>
      <c r="D46" s="18">
        <v>128</v>
      </c>
      <c r="E46" s="20" t="s">
        <v>8864</v>
      </c>
      <c r="F46" s="17" t="s">
        <v>716</v>
      </c>
      <c r="G46" s="19" t="s">
        <v>17</v>
      </c>
      <c r="H46" s="18">
        <v>28.24666666666667</v>
      </c>
      <c r="I46" s="17" t="s">
        <v>49</v>
      </c>
      <c r="J46" s="17" t="s">
        <v>48</v>
      </c>
      <c r="K46" s="17"/>
      <c r="L46" s="17"/>
      <c r="M46" s="16" t="str">
        <f>HYPERLINK("http://slimages.macys.com/is/image/MCY/18749250 ")</f>
        <v xml:space="preserve">http://slimages.macys.com/is/image/MCY/18749250 </v>
      </c>
      <c r="N46" s="30"/>
    </row>
    <row r="47" spans="1:14" ht="60" x14ac:dyDescent="0.25">
      <c r="A47" s="19" t="s">
        <v>8863</v>
      </c>
      <c r="B47" s="17" t="s">
        <v>8862</v>
      </c>
      <c r="C47" s="20">
        <v>1</v>
      </c>
      <c r="D47" s="18">
        <v>111.75</v>
      </c>
      <c r="E47" s="20" t="s">
        <v>8861</v>
      </c>
      <c r="F47" s="17"/>
      <c r="G47" s="19" t="s">
        <v>1445</v>
      </c>
      <c r="H47" s="18">
        <v>28.126666666666669</v>
      </c>
      <c r="I47" s="17" t="s">
        <v>358</v>
      </c>
      <c r="J47" s="17" t="s">
        <v>32</v>
      </c>
      <c r="K47" s="17"/>
      <c r="L47" s="17"/>
      <c r="M47" s="16" t="str">
        <f>HYPERLINK("http://slimages.macys.com/is/image/MCY/18972636 ")</f>
        <v xml:space="preserve">http://slimages.macys.com/is/image/MCY/18972636 </v>
      </c>
      <c r="N47" s="30"/>
    </row>
    <row r="48" spans="1:14" ht="60" x14ac:dyDescent="0.25">
      <c r="A48" s="19" t="s">
        <v>8860</v>
      </c>
      <c r="B48" s="17" t="s">
        <v>8859</v>
      </c>
      <c r="C48" s="20">
        <v>1</v>
      </c>
      <c r="D48" s="18">
        <v>148</v>
      </c>
      <c r="E48" s="20" t="s">
        <v>8858</v>
      </c>
      <c r="F48" s="17" t="s">
        <v>1536</v>
      </c>
      <c r="G48" s="19" t="s">
        <v>898</v>
      </c>
      <c r="H48" s="18">
        <v>28.12</v>
      </c>
      <c r="I48" s="17" t="s">
        <v>115</v>
      </c>
      <c r="J48" s="17" t="s">
        <v>748</v>
      </c>
      <c r="K48" s="17"/>
      <c r="L48" s="17"/>
      <c r="M48" s="16" t="str">
        <f>HYPERLINK("http://slimages.macys.com/is/image/MCY/17880625 ")</f>
        <v xml:space="preserve">http://slimages.macys.com/is/image/MCY/17880625 </v>
      </c>
      <c r="N48" s="30"/>
    </row>
    <row r="49" spans="1:14" ht="60" x14ac:dyDescent="0.25">
      <c r="A49" s="19" t="s">
        <v>8857</v>
      </c>
      <c r="B49" s="17" t="s">
        <v>8856</v>
      </c>
      <c r="C49" s="20">
        <v>1</v>
      </c>
      <c r="D49" s="18">
        <v>139.5</v>
      </c>
      <c r="E49" s="20" t="s">
        <v>8855</v>
      </c>
      <c r="F49" s="17" t="s">
        <v>23</v>
      </c>
      <c r="G49" s="19" t="s">
        <v>749</v>
      </c>
      <c r="H49" s="18">
        <v>28.106666666666669</v>
      </c>
      <c r="I49" s="17" t="s">
        <v>106</v>
      </c>
      <c r="J49" s="17" t="s">
        <v>105</v>
      </c>
      <c r="K49" s="17"/>
      <c r="L49" s="17"/>
      <c r="M49" s="16" t="str">
        <f>HYPERLINK("http://slimages.macys.com/is/image/MCY/19195194 ")</f>
        <v xml:space="preserve">http://slimages.macys.com/is/image/MCY/19195194 </v>
      </c>
      <c r="N49" s="30"/>
    </row>
    <row r="50" spans="1:14" ht="96" x14ac:dyDescent="0.25">
      <c r="A50" s="19" t="s">
        <v>8854</v>
      </c>
      <c r="B50" s="17" t="s">
        <v>8853</v>
      </c>
      <c r="C50" s="20">
        <v>1</v>
      </c>
      <c r="D50" s="18">
        <v>139</v>
      </c>
      <c r="E50" s="20" t="s">
        <v>8852</v>
      </c>
      <c r="F50" s="17" t="s">
        <v>51</v>
      </c>
      <c r="G50" s="19" t="s">
        <v>116</v>
      </c>
      <c r="H50" s="18">
        <v>27.8</v>
      </c>
      <c r="I50" s="17" t="s">
        <v>678</v>
      </c>
      <c r="J50" s="17" t="s">
        <v>404</v>
      </c>
      <c r="K50" s="17" t="s">
        <v>389</v>
      </c>
      <c r="L50" s="17" t="s">
        <v>1261</v>
      </c>
      <c r="M50" s="16" t="str">
        <f>HYPERLINK("http://slimages.macys.com/is/image/MCY/15273122 ")</f>
        <v xml:space="preserve">http://slimages.macys.com/is/image/MCY/15273122 </v>
      </c>
      <c r="N50" s="30"/>
    </row>
    <row r="51" spans="1:14" ht="60" x14ac:dyDescent="0.25">
      <c r="A51" s="19" t="s">
        <v>8851</v>
      </c>
      <c r="B51" s="17" t="s">
        <v>8850</v>
      </c>
      <c r="C51" s="20">
        <v>1</v>
      </c>
      <c r="D51" s="18">
        <v>138</v>
      </c>
      <c r="E51" s="20" t="s">
        <v>8847</v>
      </c>
      <c r="F51" s="17" t="s">
        <v>575</v>
      </c>
      <c r="G51" s="19" t="s">
        <v>116</v>
      </c>
      <c r="H51" s="18">
        <v>27.599999999999998</v>
      </c>
      <c r="I51" s="17" t="s">
        <v>115</v>
      </c>
      <c r="J51" s="17" t="s">
        <v>748</v>
      </c>
      <c r="K51" s="17"/>
      <c r="L51" s="17"/>
      <c r="M51" s="16" t="str">
        <f>HYPERLINK("http://slimages.macys.com/is/image/MCY/19070586 ")</f>
        <v xml:space="preserve">http://slimages.macys.com/is/image/MCY/19070586 </v>
      </c>
      <c r="N51" s="30"/>
    </row>
    <row r="52" spans="1:14" ht="60" x14ac:dyDescent="0.25">
      <c r="A52" s="19" t="s">
        <v>8849</v>
      </c>
      <c r="B52" s="17" t="s">
        <v>8848</v>
      </c>
      <c r="C52" s="20">
        <v>1</v>
      </c>
      <c r="D52" s="18">
        <v>138</v>
      </c>
      <c r="E52" s="20" t="s">
        <v>8847</v>
      </c>
      <c r="F52" s="17" t="s">
        <v>575</v>
      </c>
      <c r="G52" s="19" t="s">
        <v>749</v>
      </c>
      <c r="H52" s="18">
        <v>27.599999999999998</v>
      </c>
      <c r="I52" s="17" t="s">
        <v>115</v>
      </c>
      <c r="J52" s="17" t="s">
        <v>748</v>
      </c>
      <c r="K52" s="17"/>
      <c r="L52" s="17"/>
      <c r="M52" s="16" t="str">
        <f>HYPERLINK("http://slimages.macys.com/is/image/MCY/19070586 ")</f>
        <v xml:space="preserve">http://slimages.macys.com/is/image/MCY/19070586 </v>
      </c>
      <c r="N52" s="30"/>
    </row>
    <row r="53" spans="1:14" ht="60" x14ac:dyDescent="0.25">
      <c r="A53" s="19" t="s">
        <v>8846</v>
      </c>
      <c r="B53" s="17" t="s">
        <v>8845</v>
      </c>
      <c r="C53" s="20">
        <v>1</v>
      </c>
      <c r="D53" s="18">
        <v>96.75</v>
      </c>
      <c r="E53" s="20">
        <v>10678280</v>
      </c>
      <c r="F53" s="17" t="s">
        <v>578</v>
      </c>
      <c r="G53" s="19" t="s">
        <v>1292</v>
      </c>
      <c r="H53" s="18">
        <v>27.093333333333334</v>
      </c>
      <c r="I53" s="17" t="s">
        <v>358</v>
      </c>
      <c r="J53" s="17" t="s">
        <v>143</v>
      </c>
      <c r="K53" s="17"/>
      <c r="L53" s="17"/>
      <c r="M53" s="16" t="str">
        <f>HYPERLINK("http://slimages.macys.com/is/image/MCY/19096577 ")</f>
        <v xml:space="preserve">http://slimages.macys.com/is/image/MCY/19096577 </v>
      </c>
      <c r="N53" s="30"/>
    </row>
    <row r="54" spans="1:14" ht="60" x14ac:dyDescent="0.25">
      <c r="A54" s="19" t="s">
        <v>8844</v>
      </c>
      <c r="B54" s="17" t="s">
        <v>8843</v>
      </c>
      <c r="C54" s="20">
        <v>2</v>
      </c>
      <c r="D54" s="18">
        <v>88</v>
      </c>
      <c r="E54" s="20" t="s">
        <v>7977</v>
      </c>
      <c r="F54" s="17" t="s">
        <v>44</v>
      </c>
      <c r="G54" s="19" t="s">
        <v>74</v>
      </c>
      <c r="H54" s="18">
        <v>26.666666666666668</v>
      </c>
      <c r="I54" s="17" t="s">
        <v>133</v>
      </c>
      <c r="J54" s="17" t="s">
        <v>1437</v>
      </c>
      <c r="K54" s="17" t="s">
        <v>3965</v>
      </c>
      <c r="L54" s="17" t="s">
        <v>7618</v>
      </c>
      <c r="M54" s="16" t="str">
        <f>HYPERLINK("http://images.bloomingdales.com/is/image/BLM/11638175 ")</f>
        <v xml:space="preserve">http://images.bloomingdales.com/is/image/BLM/11638175 </v>
      </c>
      <c r="N54" s="30"/>
    </row>
    <row r="55" spans="1:14" ht="60" x14ac:dyDescent="0.25">
      <c r="A55" s="19" t="s">
        <v>8842</v>
      </c>
      <c r="B55" s="17" t="s">
        <v>8841</v>
      </c>
      <c r="C55" s="20">
        <v>2</v>
      </c>
      <c r="D55" s="18">
        <v>88</v>
      </c>
      <c r="E55" s="20" t="s">
        <v>7977</v>
      </c>
      <c r="F55" s="17" t="s">
        <v>44</v>
      </c>
      <c r="G55" s="19" t="s">
        <v>57</v>
      </c>
      <c r="H55" s="18">
        <v>26.666666666666668</v>
      </c>
      <c r="I55" s="17" t="s">
        <v>133</v>
      </c>
      <c r="J55" s="17" t="s">
        <v>1437</v>
      </c>
      <c r="K55" s="17" t="s">
        <v>3965</v>
      </c>
      <c r="L55" s="17" t="s">
        <v>7618</v>
      </c>
      <c r="M55" s="16" t="str">
        <f>HYPERLINK("http://images.bloomingdales.com/is/image/BLM/11638175 ")</f>
        <v xml:space="preserve">http://images.bloomingdales.com/is/image/BLM/11638175 </v>
      </c>
      <c r="N55" s="30"/>
    </row>
    <row r="56" spans="1:14" ht="60" x14ac:dyDescent="0.25">
      <c r="A56" s="19" t="s">
        <v>8840</v>
      </c>
      <c r="B56" s="17" t="s">
        <v>8839</v>
      </c>
      <c r="C56" s="20">
        <v>2</v>
      </c>
      <c r="D56" s="18">
        <v>88</v>
      </c>
      <c r="E56" s="20" t="s">
        <v>7977</v>
      </c>
      <c r="F56" s="17" t="s">
        <v>44</v>
      </c>
      <c r="G56" s="19" t="s">
        <v>197</v>
      </c>
      <c r="H56" s="18">
        <v>26.666666666666668</v>
      </c>
      <c r="I56" s="17" t="s">
        <v>133</v>
      </c>
      <c r="J56" s="17" t="s">
        <v>1437</v>
      </c>
      <c r="K56" s="17" t="s">
        <v>3965</v>
      </c>
      <c r="L56" s="17" t="s">
        <v>7618</v>
      </c>
      <c r="M56" s="16" t="str">
        <f>HYPERLINK("http://images.bloomingdales.com/is/image/BLM/11638175 ")</f>
        <v xml:space="preserve">http://images.bloomingdales.com/is/image/BLM/11638175 </v>
      </c>
      <c r="N56" s="30"/>
    </row>
    <row r="57" spans="1:14" ht="60" x14ac:dyDescent="0.25">
      <c r="A57" s="19" t="s">
        <v>8838</v>
      </c>
      <c r="B57" s="17" t="s">
        <v>8837</v>
      </c>
      <c r="C57" s="20">
        <v>3</v>
      </c>
      <c r="D57" s="18">
        <v>88</v>
      </c>
      <c r="E57" s="20" t="s">
        <v>7977</v>
      </c>
      <c r="F57" s="17" t="s">
        <v>44</v>
      </c>
      <c r="G57" s="19" t="s">
        <v>62</v>
      </c>
      <c r="H57" s="18">
        <v>26.666666666666668</v>
      </c>
      <c r="I57" s="17" t="s">
        <v>133</v>
      </c>
      <c r="J57" s="17" t="s">
        <v>1437</v>
      </c>
      <c r="K57" s="17" t="s">
        <v>3965</v>
      </c>
      <c r="L57" s="17" t="s">
        <v>7618</v>
      </c>
      <c r="M57" s="16" t="str">
        <f>HYPERLINK("http://images.bloomingdales.com/is/image/BLM/11638175 ")</f>
        <v xml:space="preserve">http://images.bloomingdales.com/is/image/BLM/11638175 </v>
      </c>
      <c r="N57" s="30"/>
    </row>
    <row r="58" spans="1:14" ht="60" x14ac:dyDescent="0.25">
      <c r="A58" s="19" t="s">
        <v>8836</v>
      </c>
      <c r="B58" s="17" t="s">
        <v>8835</v>
      </c>
      <c r="C58" s="20">
        <v>1</v>
      </c>
      <c r="D58" s="18">
        <v>79.989999999999995</v>
      </c>
      <c r="E58" s="20">
        <v>50039207</v>
      </c>
      <c r="F58" s="17" t="s">
        <v>23</v>
      </c>
      <c r="G58" s="19" t="s">
        <v>773</v>
      </c>
      <c r="H58" s="18">
        <v>26.666666666666668</v>
      </c>
      <c r="I58" s="17" t="s">
        <v>854</v>
      </c>
      <c r="J58" s="17" t="s">
        <v>850</v>
      </c>
      <c r="K58" s="17"/>
      <c r="L58" s="17"/>
      <c r="M58" s="16" t="str">
        <f>HYPERLINK("http://slimages.macys.com/is/image/MCY/16704583 ")</f>
        <v xml:space="preserve">http://slimages.macys.com/is/image/MCY/16704583 </v>
      </c>
      <c r="N58" s="30"/>
    </row>
    <row r="59" spans="1:14" ht="60" x14ac:dyDescent="0.25">
      <c r="A59" s="19" t="s">
        <v>8834</v>
      </c>
      <c r="B59" s="17" t="s">
        <v>8833</v>
      </c>
      <c r="C59" s="20">
        <v>1</v>
      </c>
      <c r="D59" s="18">
        <v>100</v>
      </c>
      <c r="E59" s="20">
        <v>1005</v>
      </c>
      <c r="F59" s="17" t="s">
        <v>535</v>
      </c>
      <c r="G59" s="19" t="s">
        <v>62</v>
      </c>
      <c r="H59" s="18">
        <v>26.666666666666668</v>
      </c>
      <c r="I59" s="17" t="s">
        <v>133</v>
      </c>
      <c r="J59" s="17" t="s">
        <v>1480</v>
      </c>
      <c r="K59" s="17"/>
      <c r="L59" s="17"/>
      <c r="M59" s="16" t="str">
        <f>HYPERLINK("http://slimages.macys.com/is/image/MCY/19009102 ")</f>
        <v xml:space="preserve">http://slimages.macys.com/is/image/MCY/19009102 </v>
      </c>
      <c r="N59" s="30"/>
    </row>
    <row r="60" spans="1:14" ht="60" x14ac:dyDescent="0.25">
      <c r="A60" s="19" t="s">
        <v>8832</v>
      </c>
      <c r="B60" s="17" t="s">
        <v>8831</v>
      </c>
      <c r="C60" s="20">
        <v>2</v>
      </c>
      <c r="D60" s="18">
        <v>88</v>
      </c>
      <c r="E60" s="20" t="s">
        <v>7977</v>
      </c>
      <c r="F60" s="17" t="s">
        <v>44</v>
      </c>
      <c r="G60" s="19" t="s">
        <v>69</v>
      </c>
      <c r="H60" s="18">
        <v>26.666666666666668</v>
      </c>
      <c r="I60" s="17" t="s">
        <v>133</v>
      </c>
      <c r="J60" s="17" t="s">
        <v>1437</v>
      </c>
      <c r="K60" s="17" t="s">
        <v>3965</v>
      </c>
      <c r="L60" s="17" t="s">
        <v>7618</v>
      </c>
      <c r="M60" s="16" t="str">
        <f>HYPERLINK("http://images.bloomingdales.com/is/image/BLM/11638175 ")</f>
        <v xml:space="preserve">http://images.bloomingdales.com/is/image/BLM/11638175 </v>
      </c>
      <c r="N60" s="30"/>
    </row>
    <row r="61" spans="1:14" ht="60" x14ac:dyDescent="0.25">
      <c r="A61" s="19" t="s">
        <v>8830</v>
      </c>
      <c r="B61" s="17" t="s">
        <v>8829</v>
      </c>
      <c r="C61" s="20">
        <v>1</v>
      </c>
      <c r="D61" s="18">
        <v>129</v>
      </c>
      <c r="E61" s="20">
        <v>10758240</v>
      </c>
      <c r="F61" s="17" t="s">
        <v>140</v>
      </c>
      <c r="G61" s="19" t="s">
        <v>898</v>
      </c>
      <c r="H61" s="18">
        <v>26.66</v>
      </c>
      <c r="I61" s="17" t="s">
        <v>144</v>
      </c>
      <c r="J61" s="17" t="s">
        <v>143</v>
      </c>
      <c r="K61" s="17"/>
      <c r="L61" s="17"/>
      <c r="M61" s="16" t="str">
        <f>HYPERLINK("http://slimages.macys.com/is/image/MCY/18302109 ")</f>
        <v xml:space="preserve">http://slimages.macys.com/is/image/MCY/18302109 </v>
      </c>
      <c r="N61" s="30"/>
    </row>
    <row r="62" spans="1:14" ht="60" x14ac:dyDescent="0.25">
      <c r="A62" s="19" t="s">
        <v>1425</v>
      </c>
      <c r="B62" s="17" t="s">
        <v>1424</v>
      </c>
      <c r="C62" s="20">
        <v>1</v>
      </c>
      <c r="D62" s="18">
        <v>148</v>
      </c>
      <c r="E62" s="20" t="s">
        <v>1423</v>
      </c>
      <c r="F62" s="17" t="s">
        <v>23</v>
      </c>
      <c r="G62" s="19" t="s">
        <v>682</v>
      </c>
      <c r="H62" s="18">
        <v>26.64</v>
      </c>
      <c r="I62" s="17" t="s">
        <v>115</v>
      </c>
      <c r="J62" s="17" t="s">
        <v>742</v>
      </c>
      <c r="K62" s="17"/>
      <c r="L62" s="17"/>
      <c r="M62" s="16" t="str">
        <f>HYPERLINK("http://slimages.macys.com/is/image/MCY/19102968 ")</f>
        <v xml:space="preserve">http://slimages.macys.com/is/image/MCY/19102968 </v>
      </c>
      <c r="N62" s="30"/>
    </row>
    <row r="63" spans="1:14" ht="60" x14ac:dyDescent="0.25">
      <c r="A63" s="19" t="s">
        <v>8828</v>
      </c>
      <c r="B63" s="17" t="s">
        <v>8827</v>
      </c>
      <c r="C63" s="20">
        <v>1</v>
      </c>
      <c r="D63" s="18">
        <v>148</v>
      </c>
      <c r="E63" s="20" t="s">
        <v>1423</v>
      </c>
      <c r="F63" s="17" t="s">
        <v>23</v>
      </c>
      <c r="G63" s="19" t="s">
        <v>857</v>
      </c>
      <c r="H63" s="18">
        <v>26.64</v>
      </c>
      <c r="I63" s="17" t="s">
        <v>115</v>
      </c>
      <c r="J63" s="17" t="s">
        <v>742</v>
      </c>
      <c r="K63" s="17"/>
      <c r="L63" s="17"/>
      <c r="M63" s="16" t="str">
        <f>HYPERLINK("http://slimages.macys.com/is/image/MCY/19102968 ")</f>
        <v xml:space="preserve">http://slimages.macys.com/is/image/MCY/19102968 </v>
      </c>
      <c r="N63" s="30"/>
    </row>
    <row r="64" spans="1:14" ht="60" x14ac:dyDescent="0.25">
      <c r="A64" s="19" t="s">
        <v>8826</v>
      </c>
      <c r="B64" s="17" t="s">
        <v>8825</v>
      </c>
      <c r="C64" s="20">
        <v>1</v>
      </c>
      <c r="D64" s="18">
        <v>148</v>
      </c>
      <c r="E64" s="20" t="s">
        <v>8824</v>
      </c>
      <c r="F64" s="17" t="s">
        <v>206</v>
      </c>
      <c r="G64" s="19" t="s">
        <v>749</v>
      </c>
      <c r="H64" s="18">
        <v>26.64</v>
      </c>
      <c r="I64" s="17" t="s">
        <v>115</v>
      </c>
      <c r="J64" s="17" t="s">
        <v>742</v>
      </c>
      <c r="K64" s="17"/>
      <c r="L64" s="17"/>
      <c r="M64" s="16" t="str">
        <f>HYPERLINK("http://slimages.macys.com/is/image/MCY/17157881 ")</f>
        <v xml:space="preserve">http://slimages.macys.com/is/image/MCY/17157881 </v>
      </c>
      <c r="N64" s="30"/>
    </row>
    <row r="65" spans="1:14" ht="60" x14ac:dyDescent="0.25">
      <c r="A65" s="19" t="s">
        <v>8823</v>
      </c>
      <c r="B65" s="17" t="s">
        <v>8822</v>
      </c>
      <c r="C65" s="20">
        <v>1</v>
      </c>
      <c r="D65" s="18">
        <v>149</v>
      </c>
      <c r="E65" s="20" t="s">
        <v>8821</v>
      </c>
      <c r="F65" s="17" t="s">
        <v>23</v>
      </c>
      <c r="G65" s="19" t="s">
        <v>1336</v>
      </c>
      <c r="H65" s="18">
        <v>26.613333333333333</v>
      </c>
      <c r="I65" s="17" t="s">
        <v>550</v>
      </c>
      <c r="J65" s="17" t="s">
        <v>1090</v>
      </c>
      <c r="K65" s="17"/>
      <c r="L65" s="17"/>
      <c r="M65" s="16" t="str">
        <f>HYPERLINK("http://slimages.macys.com/is/image/MCY/18760527 ")</f>
        <v xml:space="preserve">http://slimages.macys.com/is/image/MCY/18760527 </v>
      </c>
      <c r="N65" s="30"/>
    </row>
    <row r="66" spans="1:14" ht="60" x14ac:dyDescent="0.25">
      <c r="A66" s="19" t="s">
        <v>8820</v>
      </c>
      <c r="B66" s="17" t="s">
        <v>8819</v>
      </c>
      <c r="C66" s="20">
        <v>1</v>
      </c>
      <c r="D66" s="18">
        <v>109</v>
      </c>
      <c r="E66" s="20" t="s">
        <v>8818</v>
      </c>
      <c r="F66" s="17" t="s">
        <v>2876</v>
      </c>
      <c r="G66" s="19" t="s">
        <v>698</v>
      </c>
      <c r="H66" s="18">
        <v>26.6</v>
      </c>
      <c r="I66" s="17" t="s">
        <v>1363</v>
      </c>
      <c r="J66" s="17" t="s">
        <v>1362</v>
      </c>
      <c r="K66" s="17"/>
      <c r="L66" s="17"/>
      <c r="M66" s="16" t="str">
        <f>HYPERLINK("http://slimages.macys.com/is/image/MCY/18611826 ")</f>
        <v xml:space="preserve">http://slimages.macys.com/is/image/MCY/18611826 </v>
      </c>
      <c r="N66" s="30"/>
    </row>
    <row r="67" spans="1:14" ht="108" x14ac:dyDescent="0.25">
      <c r="A67" s="19" t="s">
        <v>8817</v>
      </c>
      <c r="B67" s="17" t="s">
        <v>8816</v>
      </c>
      <c r="C67" s="20">
        <v>1</v>
      </c>
      <c r="D67" s="18">
        <v>109</v>
      </c>
      <c r="E67" s="20" t="s">
        <v>6883</v>
      </c>
      <c r="F67" s="17" t="s">
        <v>575</v>
      </c>
      <c r="G67" s="19" t="s">
        <v>116</v>
      </c>
      <c r="H67" s="18">
        <v>26.6</v>
      </c>
      <c r="I67" s="17" t="s">
        <v>1363</v>
      </c>
      <c r="J67" s="17" t="s">
        <v>1362</v>
      </c>
      <c r="K67" s="17" t="s">
        <v>389</v>
      </c>
      <c r="L67" s="17" t="s">
        <v>6877</v>
      </c>
      <c r="M67" s="16" t="str">
        <f>HYPERLINK("http://slimages.macys.com/is/image/MCY/8625849 ")</f>
        <v xml:space="preserve">http://slimages.macys.com/is/image/MCY/8625849 </v>
      </c>
      <c r="N67" s="30"/>
    </row>
    <row r="68" spans="1:14" ht="72" x14ac:dyDescent="0.25">
      <c r="A68" s="19" t="s">
        <v>8815</v>
      </c>
      <c r="B68" s="17" t="s">
        <v>8814</v>
      </c>
      <c r="C68" s="20">
        <v>1</v>
      </c>
      <c r="D68" s="18">
        <v>109</v>
      </c>
      <c r="E68" s="20" t="s">
        <v>6892</v>
      </c>
      <c r="F68" s="17" t="s">
        <v>282</v>
      </c>
      <c r="G68" s="19" t="s">
        <v>682</v>
      </c>
      <c r="H68" s="18">
        <v>26.6</v>
      </c>
      <c r="I68" s="17" t="s">
        <v>1363</v>
      </c>
      <c r="J68" s="17" t="s">
        <v>1362</v>
      </c>
      <c r="K68" s="17" t="s">
        <v>389</v>
      </c>
      <c r="L68" s="17" t="s">
        <v>6891</v>
      </c>
      <c r="M68" s="16" t="str">
        <f>HYPERLINK("http://slimages.macys.com/is/image/MCY/8620495 ")</f>
        <v xml:space="preserve">http://slimages.macys.com/is/image/MCY/8620495 </v>
      </c>
      <c r="N68" s="30"/>
    </row>
    <row r="69" spans="1:14" ht="108" x14ac:dyDescent="0.25">
      <c r="A69" s="19" t="s">
        <v>8813</v>
      </c>
      <c r="B69" s="17" t="s">
        <v>8812</v>
      </c>
      <c r="C69" s="20">
        <v>1</v>
      </c>
      <c r="D69" s="18">
        <v>109</v>
      </c>
      <c r="E69" s="20" t="s">
        <v>8811</v>
      </c>
      <c r="F69" s="17" t="s">
        <v>575</v>
      </c>
      <c r="G69" s="19" t="s">
        <v>116</v>
      </c>
      <c r="H69" s="18">
        <v>26.6</v>
      </c>
      <c r="I69" s="17" t="s">
        <v>1363</v>
      </c>
      <c r="J69" s="17" t="s">
        <v>1362</v>
      </c>
      <c r="K69" s="17" t="s">
        <v>389</v>
      </c>
      <c r="L69" s="17" t="s">
        <v>6877</v>
      </c>
      <c r="M69" s="16" t="str">
        <f>HYPERLINK("http://slimages.macys.com/is/image/MCY/8778068 ")</f>
        <v xml:space="preserve">http://slimages.macys.com/is/image/MCY/8778068 </v>
      </c>
      <c r="N69" s="30"/>
    </row>
    <row r="70" spans="1:14" ht="60" x14ac:dyDescent="0.25">
      <c r="A70" s="19" t="s">
        <v>8810</v>
      </c>
      <c r="B70" s="17" t="s">
        <v>8809</v>
      </c>
      <c r="C70" s="20">
        <v>1</v>
      </c>
      <c r="D70" s="18">
        <v>104.25</v>
      </c>
      <c r="E70" s="20">
        <v>10772830</v>
      </c>
      <c r="F70" s="17" t="s">
        <v>544</v>
      </c>
      <c r="G70" s="19" t="s">
        <v>271</v>
      </c>
      <c r="H70" s="18">
        <v>26.413333333333334</v>
      </c>
      <c r="I70" s="17" t="s">
        <v>358</v>
      </c>
      <c r="J70" s="17" t="s">
        <v>143</v>
      </c>
      <c r="K70" s="17"/>
      <c r="L70" s="17"/>
      <c r="M70" s="16" t="str">
        <f>HYPERLINK("http://slimages.macys.com/is/image/MCY/17750075 ")</f>
        <v xml:space="preserve">http://slimages.macys.com/is/image/MCY/17750075 </v>
      </c>
      <c r="N70" s="30"/>
    </row>
    <row r="71" spans="1:14" ht="96" x14ac:dyDescent="0.25">
      <c r="A71" s="19" t="s">
        <v>8808</v>
      </c>
      <c r="B71" s="17" t="s">
        <v>8807</v>
      </c>
      <c r="C71" s="20">
        <v>1</v>
      </c>
      <c r="D71" s="18">
        <v>109</v>
      </c>
      <c r="E71" s="20" t="s">
        <v>4729</v>
      </c>
      <c r="F71" s="17" t="s">
        <v>51</v>
      </c>
      <c r="G71" s="19"/>
      <c r="H71" s="18">
        <v>26.38</v>
      </c>
      <c r="I71" s="17" t="s">
        <v>1363</v>
      </c>
      <c r="J71" s="17" t="s">
        <v>1362</v>
      </c>
      <c r="K71" s="17" t="s">
        <v>389</v>
      </c>
      <c r="L71" s="17" t="s">
        <v>4024</v>
      </c>
      <c r="M71" s="16" t="str">
        <f>HYPERLINK("http://slimages.macys.com/is/image/MCY/9816306 ")</f>
        <v xml:space="preserve">http://slimages.macys.com/is/image/MCY/9816306 </v>
      </c>
      <c r="N71" s="30"/>
    </row>
    <row r="72" spans="1:14" ht="60" x14ac:dyDescent="0.25">
      <c r="A72" s="19" t="s">
        <v>4727</v>
      </c>
      <c r="B72" s="17" t="s">
        <v>4726</v>
      </c>
      <c r="C72" s="20">
        <v>1</v>
      </c>
      <c r="D72" s="18">
        <v>104.25</v>
      </c>
      <c r="E72" s="20" t="s">
        <v>2957</v>
      </c>
      <c r="F72" s="17" t="s">
        <v>51</v>
      </c>
      <c r="G72" s="19"/>
      <c r="H72" s="18">
        <v>26.233333333333334</v>
      </c>
      <c r="I72" s="17" t="s">
        <v>33</v>
      </c>
      <c r="J72" s="17" t="s">
        <v>32</v>
      </c>
      <c r="K72" s="17"/>
      <c r="L72" s="17"/>
      <c r="M72" s="16" t="str">
        <f>HYPERLINK("http://slimages.macys.com/is/image/MCY/19321049 ")</f>
        <v xml:space="preserve">http://slimages.macys.com/is/image/MCY/19321049 </v>
      </c>
      <c r="N72" s="30"/>
    </row>
    <row r="73" spans="1:14" ht="60" x14ac:dyDescent="0.25">
      <c r="A73" s="19" t="s">
        <v>8806</v>
      </c>
      <c r="B73" s="17" t="s">
        <v>8805</v>
      </c>
      <c r="C73" s="20">
        <v>1</v>
      </c>
      <c r="D73" s="18">
        <v>104.25</v>
      </c>
      <c r="E73" s="20" t="s">
        <v>2957</v>
      </c>
      <c r="F73" s="17" t="s">
        <v>51</v>
      </c>
      <c r="G73" s="19"/>
      <c r="H73" s="18">
        <v>26.233333333333334</v>
      </c>
      <c r="I73" s="17" t="s">
        <v>33</v>
      </c>
      <c r="J73" s="17" t="s">
        <v>32</v>
      </c>
      <c r="K73" s="17"/>
      <c r="L73" s="17"/>
      <c r="M73" s="16" t="str">
        <f>HYPERLINK("http://slimages.macys.com/is/image/MCY/19321049 ")</f>
        <v xml:space="preserve">http://slimages.macys.com/is/image/MCY/19321049 </v>
      </c>
      <c r="N73" s="30"/>
    </row>
    <row r="74" spans="1:14" ht="60" x14ac:dyDescent="0.25">
      <c r="A74" s="19" t="s">
        <v>8804</v>
      </c>
      <c r="B74" s="17" t="s">
        <v>8803</v>
      </c>
      <c r="C74" s="20">
        <v>1</v>
      </c>
      <c r="D74" s="18">
        <v>139</v>
      </c>
      <c r="E74" s="20" t="s">
        <v>3191</v>
      </c>
      <c r="F74" s="17" t="s">
        <v>575</v>
      </c>
      <c r="G74" s="19" t="s">
        <v>898</v>
      </c>
      <c r="H74" s="18">
        <v>25.986666666666668</v>
      </c>
      <c r="I74" s="17" t="s">
        <v>820</v>
      </c>
      <c r="J74" s="17" t="s">
        <v>67</v>
      </c>
      <c r="K74" s="17"/>
      <c r="L74" s="17"/>
      <c r="M74" s="16" t="str">
        <f>HYPERLINK("http://slimages.macys.com/is/image/MCY/19123824 ")</f>
        <v xml:space="preserve">http://slimages.macys.com/is/image/MCY/19123824 </v>
      </c>
      <c r="N74" s="30"/>
    </row>
    <row r="75" spans="1:14" ht="60" x14ac:dyDescent="0.25">
      <c r="A75" s="19" t="s">
        <v>8802</v>
      </c>
      <c r="B75" s="17" t="s">
        <v>8801</v>
      </c>
      <c r="C75" s="20">
        <v>1</v>
      </c>
      <c r="D75" s="18">
        <v>129</v>
      </c>
      <c r="E75" s="20">
        <v>10762370</v>
      </c>
      <c r="F75" s="17" t="s">
        <v>28</v>
      </c>
      <c r="G75" s="19" t="s">
        <v>271</v>
      </c>
      <c r="H75" s="18">
        <v>25.8</v>
      </c>
      <c r="I75" s="17" t="s">
        <v>358</v>
      </c>
      <c r="J75" s="17" t="s">
        <v>554</v>
      </c>
      <c r="K75" s="17"/>
      <c r="L75" s="17"/>
      <c r="M75" s="16" t="str">
        <f>HYPERLINK("http://slimages.macys.com/is/image/MCY/16878387 ")</f>
        <v xml:space="preserve">http://slimages.macys.com/is/image/MCY/16878387 </v>
      </c>
      <c r="N75" s="30"/>
    </row>
    <row r="76" spans="1:14" ht="60" x14ac:dyDescent="0.25">
      <c r="A76" s="19" t="s">
        <v>8800</v>
      </c>
      <c r="B76" s="17" t="s">
        <v>8799</v>
      </c>
      <c r="C76" s="20">
        <v>1</v>
      </c>
      <c r="D76" s="18">
        <v>129</v>
      </c>
      <c r="E76" s="20">
        <v>10762370</v>
      </c>
      <c r="F76" s="17" t="s">
        <v>28</v>
      </c>
      <c r="G76" s="19" t="s">
        <v>139</v>
      </c>
      <c r="H76" s="18">
        <v>25.8</v>
      </c>
      <c r="I76" s="17" t="s">
        <v>358</v>
      </c>
      <c r="J76" s="17" t="s">
        <v>554</v>
      </c>
      <c r="K76" s="17"/>
      <c r="L76" s="17"/>
      <c r="M76" s="16" t="str">
        <f>HYPERLINK("http://slimages.macys.com/is/image/MCY/16878387 ")</f>
        <v xml:space="preserve">http://slimages.macys.com/is/image/MCY/16878387 </v>
      </c>
      <c r="N76" s="30"/>
    </row>
    <row r="77" spans="1:14" ht="60" x14ac:dyDescent="0.25">
      <c r="A77" s="19" t="s">
        <v>8798</v>
      </c>
      <c r="B77" s="17" t="s">
        <v>8797</v>
      </c>
      <c r="C77" s="20">
        <v>1</v>
      </c>
      <c r="D77" s="18">
        <v>139</v>
      </c>
      <c r="E77" s="20" t="s">
        <v>8796</v>
      </c>
      <c r="F77" s="17" t="s">
        <v>23</v>
      </c>
      <c r="G77" s="19" t="s">
        <v>682</v>
      </c>
      <c r="H77" s="18">
        <v>25.666666666666668</v>
      </c>
      <c r="I77" s="17" t="s">
        <v>405</v>
      </c>
      <c r="J77" s="17" t="s">
        <v>404</v>
      </c>
      <c r="K77" s="17"/>
      <c r="L77" s="17"/>
      <c r="M77" s="16" t="str">
        <f>HYPERLINK("http://slimages.macys.com/is/image/MCY/17417848 ")</f>
        <v xml:space="preserve">http://slimages.macys.com/is/image/MCY/17417848 </v>
      </c>
      <c r="N77" s="30"/>
    </row>
    <row r="78" spans="1:14" ht="60" x14ac:dyDescent="0.25">
      <c r="A78" s="19" t="s">
        <v>8795</v>
      </c>
      <c r="B78" s="17" t="s">
        <v>8794</v>
      </c>
      <c r="C78" s="20">
        <v>1</v>
      </c>
      <c r="D78" s="18">
        <v>139</v>
      </c>
      <c r="E78" s="20" t="s">
        <v>8793</v>
      </c>
      <c r="F78" s="17" t="s">
        <v>51</v>
      </c>
      <c r="G78" s="19" t="s">
        <v>197</v>
      </c>
      <c r="H78" s="18">
        <v>25.666666666666668</v>
      </c>
      <c r="I78" s="17" t="s">
        <v>405</v>
      </c>
      <c r="J78" s="17" t="s">
        <v>404</v>
      </c>
      <c r="K78" s="17"/>
      <c r="L78" s="17"/>
      <c r="M78" s="16" t="str">
        <f>HYPERLINK("http://slimages.macys.com/is/image/MCY/18830094 ")</f>
        <v xml:space="preserve">http://slimages.macys.com/is/image/MCY/18830094 </v>
      </c>
      <c r="N78" s="30"/>
    </row>
    <row r="79" spans="1:14" ht="120" x14ac:dyDescent="0.25">
      <c r="A79" s="19" t="s">
        <v>8792</v>
      </c>
      <c r="B79" s="17" t="s">
        <v>8791</v>
      </c>
      <c r="C79" s="20">
        <v>1</v>
      </c>
      <c r="D79" s="18">
        <v>119</v>
      </c>
      <c r="E79" s="20">
        <v>7030500</v>
      </c>
      <c r="F79" s="17" t="s">
        <v>23</v>
      </c>
      <c r="G79" s="19" t="s">
        <v>17</v>
      </c>
      <c r="H79" s="18">
        <v>25.386666666666667</v>
      </c>
      <c r="I79" s="17" t="s">
        <v>111</v>
      </c>
      <c r="J79" s="17" t="s">
        <v>110</v>
      </c>
      <c r="K79" s="17" t="s">
        <v>637</v>
      </c>
      <c r="L79" s="17" t="s">
        <v>8788</v>
      </c>
      <c r="M79" s="16" t="str">
        <f>HYPERLINK("http://images.bloomingdales.com/is/image/BLM/11484467 ")</f>
        <v xml:space="preserve">http://images.bloomingdales.com/is/image/BLM/11484467 </v>
      </c>
      <c r="N79" s="30"/>
    </row>
    <row r="80" spans="1:14" ht="120" x14ac:dyDescent="0.25">
      <c r="A80" s="19" t="s">
        <v>8790</v>
      </c>
      <c r="B80" s="17" t="s">
        <v>8789</v>
      </c>
      <c r="C80" s="20">
        <v>1</v>
      </c>
      <c r="D80" s="18">
        <v>119</v>
      </c>
      <c r="E80" s="20">
        <v>7030500</v>
      </c>
      <c r="F80" s="17" t="s">
        <v>23</v>
      </c>
      <c r="G80" s="19" t="s">
        <v>50</v>
      </c>
      <c r="H80" s="18">
        <v>25.386666666666667</v>
      </c>
      <c r="I80" s="17" t="s">
        <v>111</v>
      </c>
      <c r="J80" s="17" t="s">
        <v>110</v>
      </c>
      <c r="K80" s="17" t="s">
        <v>637</v>
      </c>
      <c r="L80" s="17" t="s">
        <v>8788</v>
      </c>
      <c r="M80" s="16" t="str">
        <f>HYPERLINK("http://images.bloomingdales.com/is/image/BLM/11484467 ")</f>
        <v xml:space="preserve">http://images.bloomingdales.com/is/image/BLM/11484467 </v>
      </c>
      <c r="N80" s="30"/>
    </row>
    <row r="81" spans="1:14" ht="60" x14ac:dyDescent="0.25">
      <c r="A81" s="19" t="s">
        <v>8787</v>
      </c>
      <c r="B81" s="17" t="s">
        <v>8786</v>
      </c>
      <c r="C81" s="20">
        <v>1</v>
      </c>
      <c r="D81" s="18">
        <v>129</v>
      </c>
      <c r="E81" s="20">
        <v>10769862</v>
      </c>
      <c r="F81" s="17" t="s">
        <v>508</v>
      </c>
      <c r="G81" s="19" t="s">
        <v>351</v>
      </c>
      <c r="H81" s="18">
        <v>24.94</v>
      </c>
      <c r="I81" s="17" t="s">
        <v>1307</v>
      </c>
      <c r="J81" s="17" t="s">
        <v>1306</v>
      </c>
      <c r="K81" s="17"/>
      <c r="L81" s="17"/>
      <c r="M81" s="16" t="str">
        <f>HYPERLINK("http://slimages.macys.com/is/image/MCY/18701535 ")</f>
        <v xml:space="preserve">http://slimages.macys.com/is/image/MCY/18701535 </v>
      </c>
      <c r="N81" s="30"/>
    </row>
    <row r="82" spans="1:14" ht="60" x14ac:dyDescent="0.25">
      <c r="A82" s="19" t="s">
        <v>8785</v>
      </c>
      <c r="B82" s="17" t="s">
        <v>8784</v>
      </c>
      <c r="C82" s="20">
        <v>2</v>
      </c>
      <c r="D82" s="18">
        <v>138</v>
      </c>
      <c r="E82" s="20" t="s">
        <v>7700</v>
      </c>
      <c r="F82" s="17" t="s">
        <v>578</v>
      </c>
      <c r="G82" s="19" t="s">
        <v>682</v>
      </c>
      <c r="H82" s="18">
        <v>24.84</v>
      </c>
      <c r="I82" s="17" t="s">
        <v>115</v>
      </c>
      <c r="J82" s="17" t="s">
        <v>742</v>
      </c>
      <c r="K82" s="17"/>
      <c r="L82" s="17"/>
      <c r="M82" s="16" t="str">
        <f>HYPERLINK("http://slimages.macys.com/is/image/MCY/18783296 ")</f>
        <v xml:space="preserve">http://slimages.macys.com/is/image/MCY/18783296 </v>
      </c>
      <c r="N82" s="30"/>
    </row>
    <row r="83" spans="1:14" ht="60" x14ac:dyDescent="0.25">
      <c r="A83" s="19" t="s">
        <v>5296</v>
      </c>
      <c r="B83" s="17" t="s">
        <v>5295</v>
      </c>
      <c r="C83" s="20">
        <v>1</v>
      </c>
      <c r="D83" s="18">
        <v>119</v>
      </c>
      <c r="E83" s="20">
        <v>10769524</v>
      </c>
      <c r="F83" s="17" t="s">
        <v>28</v>
      </c>
      <c r="G83" s="19" t="s">
        <v>69</v>
      </c>
      <c r="H83" s="18">
        <v>24.593333333333334</v>
      </c>
      <c r="I83" s="17" t="s">
        <v>144</v>
      </c>
      <c r="J83" s="17" t="s">
        <v>143</v>
      </c>
      <c r="K83" s="17"/>
      <c r="L83" s="17"/>
      <c r="M83" s="16" t="str">
        <f>HYPERLINK("http://slimages.macys.com/is/image/MCY/19095556 ")</f>
        <v xml:space="preserve">http://slimages.macys.com/is/image/MCY/19095556 </v>
      </c>
      <c r="N83" s="30"/>
    </row>
    <row r="84" spans="1:14" ht="60" x14ac:dyDescent="0.25">
      <c r="A84" s="19" t="s">
        <v>8783</v>
      </c>
      <c r="B84" s="17" t="s">
        <v>8782</v>
      </c>
      <c r="C84" s="20">
        <v>1</v>
      </c>
      <c r="D84" s="18">
        <v>119</v>
      </c>
      <c r="E84" s="20">
        <v>10769524</v>
      </c>
      <c r="F84" s="17" t="s">
        <v>28</v>
      </c>
      <c r="G84" s="19" t="s">
        <v>74</v>
      </c>
      <c r="H84" s="18">
        <v>24.593333333333334</v>
      </c>
      <c r="I84" s="17" t="s">
        <v>144</v>
      </c>
      <c r="J84" s="17" t="s">
        <v>143</v>
      </c>
      <c r="K84" s="17"/>
      <c r="L84" s="17"/>
      <c r="M84" s="16" t="str">
        <f>HYPERLINK("http://slimages.macys.com/is/image/MCY/19095556 ")</f>
        <v xml:space="preserve">http://slimages.macys.com/is/image/MCY/19095556 </v>
      </c>
      <c r="N84" s="30"/>
    </row>
    <row r="85" spans="1:14" ht="60" x14ac:dyDescent="0.25">
      <c r="A85" s="19" t="s">
        <v>8781</v>
      </c>
      <c r="B85" s="17" t="s">
        <v>8780</v>
      </c>
      <c r="C85" s="20">
        <v>1</v>
      </c>
      <c r="D85" s="18">
        <v>129</v>
      </c>
      <c r="E85" s="20">
        <v>10757392</v>
      </c>
      <c r="F85" s="17" t="s">
        <v>35</v>
      </c>
      <c r="G85" s="19" t="s">
        <v>749</v>
      </c>
      <c r="H85" s="18">
        <v>24.506666666666668</v>
      </c>
      <c r="I85" s="17" t="s">
        <v>120</v>
      </c>
      <c r="J85" s="17" t="s">
        <v>119</v>
      </c>
      <c r="K85" s="17"/>
      <c r="L85" s="17"/>
      <c r="M85" s="16" t="str">
        <f>HYPERLINK("http://slimages.macys.com/is/image/MCY/18656191 ")</f>
        <v xml:space="preserve">http://slimages.macys.com/is/image/MCY/18656191 </v>
      </c>
      <c r="N85" s="30"/>
    </row>
    <row r="86" spans="1:14" ht="60" x14ac:dyDescent="0.25">
      <c r="A86" s="19" t="s">
        <v>8779</v>
      </c>
      <c r="B86" s="17" t="s">
        <v>8778</v>
      </c>
      <c r="C86" s="20">
        <v>1</v>
      </c>
      <c r="D86" s="18">
        <v>99</v>
      </c>
      <c r="E86" s="20" t="s">
        <v>8777</v>
      </c>
      <c r="F86" s="17" t="s">
        <v>282</v>
      </c>
      <c r="G86" s="19" t="s">
        <v>698</v>
      </c>
      <c r="H86" s="18">
        <v>24.226666666666667</v>
      </c>
      <c r="I86" s="17" t="s">
        <v>1363</v>
      </c>
      <c r="J86" s="17" t="s">
        <v>1362</v>
      </c>
      <c r="K86" s="17"/>
      <c r="L86" s="17"/>
      <c r="M86" s="16" t="str">
        <f>HYPERLINK("http://slimages.macys.com/is/image/MCY/19038216 ")</f>
        <v xml:space="preserve">http://slimages.macys.com/is/image/MCY/19038216 </v>
      </c>
      <c r="N86" s="30"/>
    </row>
    <row r="87" spans="1:14" ht="60" x14ac:dyDescent="0.25">
      <c r="A87" s="19" t="s">
        <v>8776</v>
      </c>
      <c r="B87" s="17" t="s">
        <v>8775</v>
      </c>
      <c r="C87" s="20">
        <v>1</v>
      </c>
      <c r="D87" s="18">
        <v>99</v>
      </c>
      <c r="E87" s="20" t="s">
        <v>8774</v>
      </c>
      <c r="F87" s="17" t="s">
        <v>578</v>
      </c>
      <c r="G87" s="19" t="s">
        <v>682</v>
      </c>
      <c r="H87" s="18">
        <v>24.226666666666667</v>
      </c>
      <c r="I87" s="17" t="s">
        <v>1363</v>
      </c>
      <c r="J87" s="17" t="s">
        <v>1362</v>
      </c>
      <c r="K87" s="17"/>
      <c r="L87" s="17"/>
      <c r="M87" s="16" t="str">
        <f>HYPERLINK("http://slimages.macys.com/is/image/MCY/19038164 ")</f>
        <v xml:space="preserve">http://slimages.macys.com/is/image/MCY/19038164 </v>
      </c>
      <c r="N87" s="30"/>
    </row>
    <row r="88" spans="1:14" ht="60" x14ac:dyDescent="0.25">
      <c r="A88" s="19" t="s">
        <v>8773</v>
      </c>
      <c r="B88" s="17" t="s">
        <v>8772</v>
      </c>
      <c r="C88" s="20">
        <v>1</v>
      </c>
      <c r="D88" s="18">
        <v>119.5</v>
      </c>
      <c r="E88" s="20" t="s">
        <v>2946</v>
      </c>
      <c r="F88" s="17" t="s">
        <v>23</v>
      </c>
      <c r="G88" s="19" t="s">
        <v>62</v>
      </c>
      <c r="H88" s="18">
        <v>24.073333333333334</v>
      </c>
      <c r="I88" s="17" t="s">
        <v>106</v>
      </c>
      <c r="J88" s="17" t="s">
        <v>105</v>
      </c>
      <c r="K88" s="17"/>
      <c r="L88" s="17"/>
      <c r="M88" s="16" t="str">
        <f>HYPERLINK("http://slimages.macys.com/is/image/MCY/19026978 ")</f>
        <v xml:space="preserve">http://slimages.macys.com/is/image/MCY/19026978 </v>
      </c>
      <c r="N88" s="30"/>
    </row>
    <row r="89" spans="1:14" ht="60" x14ac:dyDescent="0.25">
      <c r="A89" s="19" t="s">
        <v>8771</v>
      </c>
      <c r="B89" s="17" t="s">
        <v>8770</v>
      </c>
      <c r="C89" s="20">
        <v>1</v>
      </c>
      <c r="D89" s="18">
        <v>108</v>
      </c>
      <c r="E89" s="20" t="s">
        <v>7680</v>
      </c>
      <c r="F89" s="17" t="s">
        <v>58</v>
      </c>
      <c r="G89" s="19" t="s">
        <v>22</v>
      </c>
      <c r="H89" s="18">
        <v>23.833333333333336</v>
      </c>
      <c r="I89" s="17" t="s">
        <v>49</v>
      </c>
      <c r="J89" s="17" t="s">
        <v>48</v>
      </c>
      <c r="K89" s="17"/>
      <c r="L89" s="17"/>
      <c r="M89" s="16" t="str">
        <f>HYPERLINK("http://slimages.macys.com/is/image/MCY/19177576 ")</f>
        <v xml:space="preserve">http://slimages.macys.com/is/image/MCY/19177576 </v>
      </c>
      <c r="N89" s="30"/>
    </row>
    <row r="90" spans="1:14" ht="60" x14ac:dyDescent="0.25">
      <c r="A90" s="19" t="s">
        <v>7685</v>
      </c>
      <c r="B90" s="17" t="s">
        <v>7684</v>
      </c>
      <c r="C90" s="20">
        <v>1</v>
      </c>
      <c r="D90" s="18">
        <v>108</v>
      </c>
      <c r="E90" s="20" t="s">
        <v>7683</v>
      </c>
      <c r="F90" s="17" t="s">
        <v>345</v>
      </c>
      <c r="G90" s="19"/>
      <c r="H90" s="18">
        <v>23.833333333333336</v>
      </c>
      <c r="I90" s="17" t="s">
        <v>49</v>
      </c>
      <c r="J90" s="17" t="s">
        <v>48</v>
      </c>
      <c r="K90" s="17"/>
      <c r="L90" s="17"/>
      <c r="M90" s="16" t="str">
        <f>HYPERLINK("http://slimages.macys.com/is/image/MCY/18750278 ")</f>
        <v xml:space="preserve">http://slimages.macys.com/is/image/MCY/18750278 </v>
      </c>
      <c r="N90" s="30"/>
    </row>
    <row r="91" spans="1:14" ht="60" x14ac:dyDescent="0.25">
      <c r="A91" s="19" t="s">
        <v>8769</v>
      </c>
      <c r="B91" s="17" t="s">
        <v>8768</v>
      </c>
      <c r="C91" s="20">
        <v>1</v>
      </c>
      <c r="D91" s="18">
        <v>108</v>
      </c>
      <c r="E91" s="20" t="s">
        <v>8767</v>
      </c>
      <c r="F91" s="17" t="s">
        <v>282</v>
      </c>
      <c r="G91" s="19" t="s">
        <v>50</v>
      </c>
      <c r="H91" s="18">
        <v>23.833333333333336</v>
      </c>
      <c r="I91" s="17" t="s">
        <v>49</v>
      </c>
      <c r="J91" s="17" t="s">
        <v>48</v>
      </c>
      <c r="K91" s="17"/>
      <c r="L91" s="17"/>
      <c r="M91" s="16" t="str">
        <f>HYPERLINK("http://slimages.macys.com/is/image/MCY/19349067 ")</f>
        <v xml:space="preserve">http://slimages.macys.com/is/image/MCY/19349067 </v>
      </c>
      <c r="N91" s="30"/>
    </row>
    <row r="92" spans="1:14" ht="60" x14ac:dyDescent="0.25">
      <c r="A92" s="19" t="s">
        <v>8766</v>
      </c>
      <c r="B92" s="17" t="s">
        <v>8765</v>
      </c>
      <c r="C92" s="20">
        <v>1</v>
      </c>
      <c r="D92" s="18">
        <v>119</v>
      </c>
      <c r="E92" s="20" t="s">
        <v>2925</v>
      </c>
      <c r="F92" s="17" t="s">
        <v>58</v>
      </c>
      <c r="G92" s="19" t="s">
        <v>749</v>
      </c>
      <c r="H92" s="18">
        <v>23.8</v>
      </c>
      <c r="I92" s="17" t="s">
        <v>678</v>
      </c>
      <c r="J92" s="17" t="s">
        <v>404</v>
      </c>
      <c r="K92" s="17"/>
      <c r="L92" s="17"/>
      <c r="M92" s="16" t="str">
        <f>HYPERLINK("http://slimages.macys.com/is/image/MCY/19101028 ")</f>
        <v xml:space="preserve">http://slimages.macys.com/is/image/MCY/19101028 </v>
      </c>
      <c r="N92" s="30"/>
    </row>
    <row r="93" spans="1:14" ht="60" x14ac:dyDescent="0.25">
      <c r="A93" s="19" t="s">
        <v>8764</v>
      </c>
      <c r="B93" s="17" t="s">
        <v>8763</v>
      </c>
      <c r="C93" s="20">
        <v>1</v>
      </c>
      <c r="D93" s="18">
        <v>119</v>
      </c>
      <c r="E93" s="20">
        <v>10796688</v>
      </c>
      <c r="F93" s="17" t="s">
        <v>51</v>
      </c>
      <c r="G93" s="19" t="s">
        <v>898</v>
      </c>
      <c r="H93" s="18">
        <v>23.8</v>
      </c>
      <c r="I93" s="17" t="s">
        <v>115</v>
      </c>
      <c r="J93" s="17" t="s">
        <v>1265</v>
      </c>
      <c r="K93" s="17" t="s">
        <v>389</v>
      </c>
      <c r="L93" s="17" t="s">
        <v>5938</v>
      </c>
      <c r="M93" s="16" t="str">
        <f>HYPERLINK("http://slimages.macys.com/is/image/MCY/15604484 ")</f>
        <v xml:space="preserve">http://slimages.macys.com/is/image/MCY/15604484 </v>
      </c>
      <c r="N93" s="30"/>
    </row>
    <row r="94" spans="1:14" ht="60" x14ac:dyDescent="0.25">
      <c r="A94" s="19" t="s">
        <v>8762</v>
      </c>
      <c r="B94" s="17" t="s">
        <v>8761</v>
      </c>
      <c r="C94" s="20">
        <v>1</v>
      </c>
      <c r="D94" s="18">
        <v>98</v>
      </c>
      <c r="E94" s="20" t="s">
        <v>8760</v>
      </c>
      <c r="F94" s="17" t="s">
        <v>28</v>
      </c>
      <c r="G94" s="19" t="s">
        <v>682</v>
      </c>
      <c r="H94" s="18">
        <v>23.380000000000003</v>
      </c>
      <c r="I94" s="17" t="s">
        <v>133</v>
      </c>
      <c r="J94" s="17" t="s">
        <v>584</v>
      </c>
      <c r="K94" s="17" t="s">
        <v>6136</v>
      </c>
      <c r="L94" s="17" t="s">
        <v>8759</v>
      </c>
      <c r="M94" s="16" t="str">
        <f>HYPERLINK("http://images.bloomingdales.com/is/image/BLM/11383350 ")</f>
        <v xml:space="preserve">http://images.bloomingdales.com/is/image/BLM/11383350 </v>
      </c>
      <c r="N94" s="30"/>
    </row>
    <row r="95" spans="1:14" ht="84" x14ac:dyDescent="0.25">
      <c r="A95" s="19" t="s">
        <v>7670</v>
      </c>
      <c r="B95" s="17" t="s">
        <v>7669</v>
      </c>
      <c r="C95" s="20">
        <v>1</v>
      </c>
      <c r="D95" s="18">
        <v>129</v>
      </c>
      <c r="E95" s="20">
        <v>10734464</v>
      </c>
      <c r="F95" s="17" t="s">
        <v>508</v>
      </c>
      <c r="G95" s="19" t="s">
        <v>116</v>
      </c>
      <c r="H95" s="18">
        <v>23.220000000000002</v>
      </c>
      <c r="I95" s="17" t="s">
        <v>144</v>
      </c>
      <c r="J95" s="17" t="s">
        <v>143</v>
      </c>
      <c r="K95" s="17" t="s">
        <v>389</v>
      </c>
      <c r="L95" s="17" t="s">
        <v>1154</v>
      </c>
      <c r="M95" s="16" t="str">
        <f>HYPERLINK("http://slimages.macys.com/is/image/MCY/15213004 ")</f>
        <v xml:space="preserve">http://slimages.macys.com/is/image/MCY/15213004 </v>
      </c>
      <c r="N95" s="30"/>
    </row>
    <row r="96" spans="1:14" ht="72" x14ac:dyDescent="0.25">
      <c r="A96" s="19" t="s">
        <v>8758</v>
      </c>
      <c r="B96" s="17" t="s">
        <v>8757</v>
      </c>
      <c r="C96" s="20">
        <v>1</v>
      </c>
      <c r="D96" s="18">
        <v>139</v>
      </c>
      <c r="E96" s="20" t="s">
        <v>8756</v>
      </c>
      <c r="F96" s="17" t="s">
        <v>51</v>
      </c>
      <c r="G96" s="19" t="s">
        <v>116</v>
      </c>
      <c r="H96" s="18">
        <v>23.166666666666668</v>
      </c>
      <c r="I96" s="17" t="s">
        <v>678</v>
      </c>
      <c r="J96" s="17" t="s">
        <v>404</v>
      </c>
      <c r="K96" s="17" t="s">
        <v>389</v>
      </c>
      <c r="L96" s="17" t="s">
        <v>8755</v>
      </c>
      <c r="M96" s="16" t="str">
        <f>HYPERLINK("http://slimages.macys.com/is/image/MCY/14371871 ")</f>
        <v xml:space="preserve">http://slimages.macys.com/is/image/MCY/14371871 </v>
      </c>
      <c r="N96" s="30"/>
    </row>
    <row r="97" spans="1:14" ht="60" x14ac:dyDescent="0.25">
      <c r="A97" s="19" t="s">
        <v>8754</v>
      </c>
      <c r="B97" s="17" t="s">
        <v>8753</v>
      </c>
      <c r="C97" s="20">
        <v>1</v>
      </c>
      <c r="D97" s="18">
        <v>99</v>
      </c>
      <c r="E97" s="20">
        <v>7099513</v>
      </c>
      <c r="F97" s="17" t="s">
        <v>28</v>
      </c>
      <c r="G97" s="19" t="s">
        <v>17</v>
      </c>
      <c r="H97" s="18">
        <v>23.1</v>
      </c>
      <c r="I97" s="17" t="s">
        <v>111</v>
      </c>
      <c r="J97" s="17" t="s">
        <v>110</v>
      </c>
      <c r="K97" s="17"/>
      <c r="L97" s="17"/>
      <c r="M97" s="16" t="str">
        <f>HYPERLINK("http://slimages.macys.com/is/image/MCY/18747024 ")</f>
        <v xml:space="preserve">http://slimages.macys.com/is/image/MCY/18747024 </v>
      </c>
      <c r="N97" s="30"/>
    </row>
    <row r="98" spans="1:14" ht="60" x14ac:dyDescent="0.25">
      <c r="A98" s="19" t="s">
        <v>8752</v>
      </c>
      <c r="B98" s="17" t="s">
        <v>8751</v>
      </c>
      <c r="C98" s="20">
        <v>1</v>
      </c>
      <c r="D98" s="18">
        <v>81.75</v>
      </c>
      <c r="E98" s="20">
        <v>10771386</v>
      </c>
      <c r="F98" s="17" t="s">
        <v>263</v>
      </c>
      <c r="G98" s="19" t="s">
        <v>880</v>
      </c>
      <c r="H98" s="18">
        <v>22.893333333333334</v>
      </c>
      <c r="I98" s="17" t="s">
        <v>358</v>
      </c>
      <c r="J98" s="17" t="s">
        <v>143</v>
      </c>
      <c r="K98" s="17"/>
      <c r="L98" s="17"/>
      <c r="M98" s="16" t="str">
        <f>HYPERLINK("http://slimages.macys.com/is/image/MCY/18737350 ")</f>
        <v xml:space="preserve">http://slimages.macys.com/is/image/MCY/18737350 </v>
      </c>
      <c r="N98" s="30"/>
    </row>
    <row r="99" spans="1:14" ht="60" x14ac:dyDescent="0.25">
      <c r="A99" s="19" t="s">
        <v>8750</v>
      </c>
      <c r="B99" s="17" t="s">
        <v>8749</v>
      </c>
      <c r="C99" s="20">
        <v>1</v>
      </c>
      <c r="D99" s="18">
        <v>98</v>
      </c>
      <c r="E99" s="20" t="s">
        <v>8748</v>
      </c>
      <c r="F99" s="17" t="s">
        <v>1022</v>
      </c>
      <c r="G99" s="19" t="s">
        <v>96</v>
      </c>
      <c r="H99" s="18">
        <v>22.866666666666667</v>
      </c>
      <c r="I99" s="17" t="s">
        <v>133</v>
      </c>
      <c r="J99" s="17" t="s">
        <v>584</v>
      </c>
      <c r="K99" s="17"/>
      <c r="L99" s="17"/>
      <c r="M99" s="16" t="str">
        <f>HYPERLINK("http://slimages.macys.com/is/image/MCY/16903258 ")</f>
        <v xml:space="preserve">http://slimages.macys.com/is/image/MCY/16903258 </v>
      </c>
      <c r="N99" s="30"/>
    </row>
    <row r="100" spans="1:14" ht="60" x14ac:dyDescent="0.25">
      <c r="A100" s="19" t="s">
        <v>8747</v>
      </c>
      <c r="B100" s="17" t="s">
        <v>8746</v>
      </c>
      <c r="C100" s="20">
        <v>1</v>
      </c>
      <c r="D100" s="18">
        <v>89</v>
      </c>
      <c r="E100" s="20" t="s">
        <v>8745</v>
      </c>
      <c r="F100" s="17" t="s">
        <v>51</v>
      </c>
      <c r="G100" s="19" t="s">
        <v>96</v>
      </c>
      <c r="H100" s="18">
        <v>22.24666666666667</v>
      </c>
      <c r="I100" s="17" t="s">
        <v>144</v>
      </c>
      <c r="J100" s="17" t="s">
        <v>2043</v>
      </c>
      <c r="K100" s="17"/>
      <c r="L100" s="17"/>
      <c r="M100" s="16" t="str">
        <f>HYPERLINK("http://slimages.macys.com/is/image/MCY/16740575 ")</f>
        <v xml:space="preserve">http://slimages.macys.com/is/image/MCY/16740575 </v>
      </c>
      <c r="N100" s="30"/>
    </row>
    <row r="101" spans="1:14" ht="96" x14ac:dyDescent="0.25">
      <c r="A101" s="19" t="s">
        <v>8744</v>
      </c>
      <c r="B101" s="17" t="s">
        <v>8743</v>
      </c>
      <c r="C101" s="20">
        <v>1</v>
      </c>
      <c r="D101" s="18">
        <v>79</v>
      </c>
      <c r="E101" s="20">
        <v>10695504</v>
      </c>
      <c r="F101" s="17" t="s">
        <v>51</v>
      </c>
      <c r="G101" s="19"/>
      <c r="H101" s="18">
        <v>22.12</v>
      </c>
      <c r="I101" s="17" t="s">
        <v>358</v>
      </c>
      <c r="J101" s="17" t="s">
        <v>143</v>
      </c>
      <c r="K101" s="17" t="s">
        <v>389</v>
      </c>
      <c r="L101" s="17" t="s">
        <v>3972</v>
      </c>
      <c r="M101" s="16" t="str">
        <f>HYPERLINK("http://slimages.macys.com/is/image/MCY/9988589 ")</f>
        <v xml:space="preserve">http://slimages.macys.com/is/image/MCY/9988589 </v>
      </c>
      <c r="N101" s="30"/>
    </row>
    <row r="102" spans="1:14" ht="96" x14ac:dyDescent="0.25">
      <c r="A102" s="19" t="s">
        <v>3974</v>
      </c>
      <c r="B102" s="17" t="s">
        <v>3973</v>
      </c>
      <c r="C102" s="20">
        <v>1</v>
      </c>
      <c r="D102" s="18">
        <v>59.25</v>
      </c>
      <c r="E102" s="20">
        <v>10695504</v>
      </c>
      <c r="F102" s="17" t="s">
        <v>51</v>
      </c>
      <c r="G102" s="19" t="s">
        <v>880</v>
      </c>
      <c r="H102" s="18">
        <v>22.12</v>
      </c>
      <c r="I102" s="17" t="s">
        <v>358</v>
      </c>
      <c r="J102" s="17" t="s">
        <v>143</v>
      </c>
      <c r="K102" s="17" t="s">
        <v>389</v>
      </c>
      <c r="L102" s="17" t="s">
        <v>3972</v>
      </c>
      <c r="M102" s="16" t="str">
        <f>HYPERLINK("http://slimages.macys.com/is/image/MCY/9988589 ")</f>
        <v xml:space="preserve">http://slimages.macys.com/is/image/MCY/9988589 </v>
      </c>
      <c r="N102" s="30"/>
    </row>
    <row r="103" spans="1:14" ht="60" x14ac:dyDescent="0.25">
      <c r="A103" s="19" t="s">
        <v>8742</v>
      </c>
      <c r="B103" s="17" t="s">
        <v>8741</v>
      </c>
      <c r="C103" s="20">
        <v>1</v>
      </c>
      <c r="D103" s="18">
        <v>99</v>
      </c>
      <c r="E103" s="20" t="s">
        <v>8740</v>
      </c>
      <c r="F103" s="17" t="s">
        <v>58</v>
      </c>
      <c r="G103" s="19" t="s">
        <v>2131</v>
      </c>
      <c r="H103" s="18">
        <v>22</v>
      </c>
      <c r="I103" s="17" t="s">
        <v>115</v>
      </c>
      <c r="J103" s="17" t="s">
        <v>2130</v>
      </c>
      <c r="K103" s="17"/>
      <c r="L103" s="17"/>
      <c r="M103" s="16" t="str">
        <f>HYPERLINK("http://slimages.macys.com/is/image/MCY/18948311 ")</f>
        <v xml:space="preserve">http://slimages.macys.com/is/image/MCY/18948311 </v>
      </c>
      <c r="N103" s="30"/>
    </row>
    <row r="104" spans="1:14" ht="60" x14ac:dyDescent="0.25">
      <c r="A104" s="19" t="s">
        <v>8739</v>
      </c>
      <c r="B104" s="17" t="s">
        <v>8738</v>
      </c>
      <c r="C104" s="20">
        <v>1</v>
      </c>
      <c r="D104" s="18">
        <v>79</v>
      </c>
      <c r="E104" s="20">
        <v>10692798</v>
      </c>
      <c r="F104" s="17" t="s">
        <v>345</v>
      </c>
      <c r="G104" s="19" t="s">
        <v>116</v>
      </c>
      <c r="H104" s="18">
        <v>22</v>
      </c>
      <c r="I104" s="17" t="s">
        <v>144</v>
      </c>
      <c r="J104" s="17" t="s">
        <v>143</v>
      </c>
      <c r="K104" s="17" t="s">
        <v>389</v>
      </c>
      <c r="L104" s="17" t="s">
        <v>1359</v>
      </c>
      <c r="M104" s="16" t="str">
        <f>HYPERLINK("http://slimages.macys.com/is/image/MCY/9936823 ")</f>
        <v xml:space="preserve">http://slimages.macys.com/is/image/MCY/9936823 </v>
      </c>
      <c r="N104" s="30"/>
    </row>
    <row r="105" spans="1:14" ht="120" x14ac:dyDescent="0.25">
      <c r="A105" s="19" t="s">
        <v>8737</v>
      </c>
      <c r="B105" s="17" t="s">
        <v>8736</v>
      </c>
      <c r="C105" s="20">
        <v>1</v>
      </c>
      <c r="D105" s="18">
        <v>89</v>
      </c>
      <c r="E105" s="20" t="s">
        <v>2116</v>
      </c>
      <c r="F105" s="17" t="s">
        <v>91</v>
      </c>
      <c r="G105" s="19" t="s">
        <v>857</v>
      </c>
      <c r="H105" s="18">
        <v>21.666666666666668</v>
      </c>
      <c r="I105" s="17" t="s">
        <v>678</v>
      </c>
      <c r="J105" s="17" t="s">
        <v>404</v>
      </c>
      <c r="K105" s="17" t="s">
        <v>389</v>
      </c>
      <c r="L105" s="17" t="s">
        <v>2115</v>
      </c>
      <c r="M105" s="16" t="str">
        <f>HYPERLINK("http://slimages.macys.com/is/image/MCY/8809233 ")</f>
        <v xml:space="preserve">http://slimages.macys.com/is/image/MCY/8809233 </v>
      </c>
      <c r="N105" s="30"/>
    </row>
    <row r="106" spans="1:14" ht="60" x14ac:dyDescent="0.25">
      <c r="A106" s="19" t="s">
        <v>8735</v>
      </c>
      <c r="B106" s="17" t="s">
        <v>8734</v>
      </c>
      <c r="C106" s="20">
        <v>1</v>
      </c>
      <c r="D106" s="18">
        <v>98</v>
      </c>
      <c r="E106" s="20" t="s">
        <v>3948</v>
      </c>
      <c r="F106" s="17" t="s">
        <v>508</v>
      </c>
      <c r="G106" s="19" t="s">
        <v>62</v>
      </c>
      <c r="H106" s="18">
        <v>21.626666666666669</v>
      </c>
      <c r="I106" s="17" t="s">
        <v>49</v>
      </c>
      <c r="J106" s="17" t="s">
        <v>48</v>
      </c>
      <c r="K106" s="17"/>
      <c r="L106" s="17"/>
      <c r="M106" s="16" t="str">
        <f>HYPERLINK("http://slimages.macys.com/is/image/MCY/19176248 ")</f>
        <v xml:space="preserve">http://slimages.macys.com/is/image/MCY/19176248 </v>
      </c>
      <c r="N106" s="30"/>
    </row>
    <row r="107" spans="1:14" ht="60" x14ac:dyDescent="0.25">
      <c r="A107" s="19" t="s">
        <v>8733</v>
      </c>
      <c r="B107" s="17" t="s">
        <v>8732</v>
      </c>
      <c r="C107" s="20">
        <v>1</v>
      </c>
      <c r="D107" s="18">
        <v>98</v>
      </c>
      <c r="E107" s="20" t="s">
        <v>8731</v>
      </c>
      <c r="F107" s="17" t="s">
        <v>51</v>
      </c>
      <c r="G107" s="19" t="s">
        <v>17</v>
      </c>
      <c r="H107" s="18">
        <v>21.626666666666669</v>
      </c>
      <c r="I107" s="17" t="s">
        <v>49</v>
      </c>
      <c r="J107" s="17" t="s">
        <v>48</v>
      </c>
      <c r="K107" s="17"/>
      <c r="L107" s="17"/>
      <c r="M107" s="16" t="str">
        <f>HYPERLINK("http://slimages.macys.com/is/image/MCY/18508685 ")</f>
        <v xml:space="preserve">http://slimages.macys.com/is/image/MCY/18508685 </v>
      </c>
      <c r="N107" s="30"/>
    </row>
    <row r="108" spans="1:14" ht="60" x14ac:dyDescent="0.25">
      <c r="A108" s="19" t="s">
        <v>8730</v>
      </c>
      <c r="B108" s="17" t="s">
        <v>8729</v>
      </c>
      <c r="C108" s="20">
        <v>1</v>
      </c>
      <c r="D108" s="18">
        <v>98</v>
      </c>
      <c r="E108" s="20" t="s">
        <v>665</v>
      </c>
      <c r="F108" s="17" t="s">
        <v>734</v>
      </c>
      <c r="G108" s="19" t="s">
        <v>62</v>
      </c>
      <c r="H108" s="18">
        <v>21.626666666666669</v>
      </c>
      <c r="I108" s="17" t="s">
        <v>49</v>
      </c>
      <c r="J108" s="17" t="s">
        <v>48</v>
      </c>
      <c r="K108" s="17"/>
      <c r="L108" s="17"/>
      <c r="M108" s="16" t="str">
        <f>HYPERLINK("http://slimages.macys.com/is/image/MCY/16691834 ")</f>
        <v xml:space="preserve">http://slimages.macys.com/is/image/MCY/16691834 </v>
      </c>
      <c r="N108" s="30"/>
    </row>
    <row r="109" spans="1:14" ht="60" x14ac:dyDescent="0.25">
      <c r="A109" s="19" t="s">
        <v>8728</v>
      </c>
      <c r="B109" s="17" t="s">
        <v>8727</v>
      </c>
      <c r="C109" s="20">
        <v>1</v>
      </c>
      <c r="D109" s="18">
        <v>98</v>
      </c>
      <c r="E109" s="20" t="s">
        <v>8726</v>
      </c>
      <c r="F109" s="17" t="s">
        <v>149</v>
      </c>
      <c r="G109" s="19" t="s">
        <v>101</v>
      </c>
      <c r="H109" s="18">
        <v>21.626666666666669</v>
      </c>
      <c r="I109" s="17" t="s">
        <v>49</v>
      </c>
      <c r="J109" s="17" t="s">
        <v>48</v>
      </c>
      <c r="K109" s="17"/>
      <c r="L109" s="17"/>
      <c r="M109" s="16" t="str">
        <f>HYPERLINK("http://slimages.macys.com/is/image/MCY/19349000 ")</f>
        <v xml:space="preserve">http://slimages.macys.com/is/image/MCY/19349000 </v>
      </c>
      <c r="N109" s="30"/>
    </row>
    <row r="110" spans="1:14" ht="60" x14ac:dyDescent="0.25">
      <c r="A110" s="19" t="s">
        <v>8725</v>
      </c>
      <c r="B110" s="17" t="s">
        <v>8724</v>
      </c>
      <c r="C110" s="20">
        <v>1</v>
      </c>
      <c r="D110" s="18">
        <v>98</v>
      </c>
      <c r="E110" s="20" t="s">
        <v>8723</v>
      </c>
      <c r="F110" s="17" t="s">
        <v>51</v>
      </c>
      <c r="G110" s="19" t="s">
        <v>17</v>
      </c>
      <c r="H110" s="18">
        <v>21.626666666666669</v>
      </c>
      <c r="I110" s="17" t="s">
        <v>49</v>
      </c>
      <c r="J110" s="17" t="s">
        <v>48</v>
      </c>
      <c r="K110" s="17"/>
      <c r="L110" s="17"/>
      <c r="M110" s="16" t="str">
        <f>HYPERLINK("http://slimages.macys.com/is/image/MCY/18901615 ")</f>
        <v xml:space="preserve">http://slimages.macys.com/is/image/MCY/18901615 </v>
      </c>
      <c r="N110" s="30"/>
    </row>
    <row r="111" spans="1:14" ht="60" x14ac:dyDescent="0.25">
      <c r="A111" s="19" t="s">
        <v>3950</v>
      </c>
      <c r="B111" s="17" t="s">
        <v>3949</v>
      </c>
      <c r="C111" s="20">
        <v>1</v>
      </c>
      <c r="D111" s="18">
        <v>98</v>
      </c>
      <c r="E111" s="20" t="s">
        <v>3948</v>
      </c>
      <c r="F111" s="17" t="s">
        <v>508</v>
      </c>
      <c r="G111" s="19" t="s">
        <v>101</v>
      </c>
      <c r="H111" s="18">
        <v>21.626666666666669</v>
      </c>
      <c r="I111" s="17" t="s">
        <v>49</v>
      </c>
      <c r="J111" s="17" t="s">
        <v>48</v>
      </c>
      <c r="K111" s="17"/>
      <c r="L111" s="17"/>
      <c r="M111" s="16" t="str">
        <f>HYPERLINK("http://slimages.macys.com/is/image/MCY/19176248 ")</f>
        <v xml:space="preserve">http://slimages.macys.com/is/image/MCY/19176248 </v>
      </c>
      <c r="N111" s="30"/>
    </row>
    <row r="112" spans="1:14" ht="60" x14ac:dyDescent="0.25">
      <c r="A112" s="19" t="s">
        <v>8722</v>
      </c>
      <c r="B112" s="17" t="s">
        <v>8721</v>
      </c>
      <c r="C112" s="20">
        <v>1</v>
      </c>
      <c r="D112" s="18">
        <v>129</v>
      </c>
      <c r="E112" s="20">
        <v>10771242</v>
      </c>
      <c r="F112" s="17" t="s">
        <v>575</v>
      </c>
      <c r="G112" s="19" t="s">
        <v>351</v>
      </c>
      <c r="H112" s="18">
        <v>21.5</v>
      </c>
      <c r="I112" s="17" t="s">
        <v>1307</v>
      </c>
      <c r="J112" s="17" t="s">
        <v>1306</v>
      </c>
      <c r="K112" s="17"/>
      <c r="L112" s="17"/>
      <c r="M112" s="16" t="str">
        <f>HYPERLINK("http://slimages.macys.com/is/image/MCY/18973177 ")</f>
        <v xml:space="preserve">http://slimages.macys.com/is/image/MCY/18973177 </v>
      </c>
      <c r="N112" s="30"/>
    </row>
    <row r="113" spans="1:14" ht="60" x14ac:dyDescent="0.25">
      <c r="A113" s="19" t="s">
        <v>8720</v>
      </c>
      <c r="B113" s="17" t="s">
        <v>8719</v>
      </c>
      <c r="C113" s="20">
        <v>1</v>
      </c>
      <c r="D113" s="18">
        <v>115</v>
      </c>
      <c r="E113" s="20" t="s">
        <v>6801</v>
      </c>
      <c r="F113" s="17" t="s">
        <v>23</v>
      </c>
      <c r="G113" s="19" t="s">
        <v>197</v>
      </c>
      <c r="H113" s="18">
        <v>21.240000000000002</v>
      </c>
      <c r="I113" s="17" t="s">
        <v>405</v>
      </c>
      <c r="J113" s="17" t="s">
        <v>404</v>
      </c>
      <c r="K113" s="17"/>
      <c r="L113" s="17"/>
      <c r="M113" s="16" t="str">
        <f>HYPERLINK("http://slimages.macys.com/is/image/MCY/18867897 ")</f>
        <v xml:space="preserve">http://slimages.macys.com/is/image/MCY/18867897 </v>
      </c>
      <c r="N113" s="30"/>
    </row>
    <row r="114" spans="1:14" ht="60" x14ac:dyDescent="0.25">
      <c r="A114" s="19" t="s">
        <v>8718</v>
      </c>
      <c r="B114" s="17" t="s">
        <v>8717</v>
      </c>
      <c r="C114" s="20">
        <v>1</v>
      </c>
      <c r="D114" s="18">
        <v>109</v>
      </c>
      <c r="E114" s="20">
        <v>10746298</v>
      </c>
      <c r="F114" s="17" t="s">
        <v>97</v>
      </c>
      <c r="G114" s="19" t="s">
        <v>271</v>
      </c>
      <c r="H114" s="18">
        <v>21.073333333333334</v>
      </c>
      <c r="I114" s="17" t="s">
        <v>1307</v>
      </c>
      <c r="J114" s="17" t="s">
        <v>1306</v>
      </c>
      <c r="K114" s="17" t="s">
        <v>389</v>
      </c>
      <c r="L114" s="17" t="s">
        <v>2600</v>
      </c>
      <c r="M114" s="16" t="str">
        <f>HYPERLINK("http://slimages.macys.com/is/image/MCY/15709507 ")</f>
        <v xml:space="preserve">http://slimages.macys.com/is/image/MCY/15709507 </v>
      </c>
      <c r="N114" s="30"/>
    </row>
    <row r="115" spans="1:14" ht="84" x14ac:dyDescent="0.25">
      <c r="A115" s="19" t="s">
        <v>8716</v>
      </c>
      <c r="B115" s="17" t="s">
        <v>8715</v>
      </c>
      <c r="C115" s="20">
        <v>1</v>
      </c>
      <c r="D115" s="18">
        <v>74.25</v>
      </c>
      <c r="E115" s="20">
        <v>10543015</v>
      </c>
      <c r="F115" s="17" t="s">
        <v>508</v>
      </c>
      <c r="G115" s="19" t="s">
        <v>644</v>
      </c>
      <c r="H115" s="18">
        <v>20.793333333333337</v>
      </c>
      <c r="I115" s="17" t="s">
        <v>33</v>
      </c>
      <c r="J115" s="17" t="s">
        <v>143</v>
      </c>
      <c r="K115" s="17" t="s">
        <v>389</v>
      </c>
      <c r="L115" s="17" t="s">
        <v>5227</v>
      </c>
      <c r="M115" s="16" t="str">
        <f>HYPERLINK("http://slimages.macys.com/is/image/MCY/3960072 ")</f>
        <v xml:space="preserve">http://slimages.macys.com/is/image/MCY/3960072 </v>
      </c>
      <c r="N115" s="30"/>
    </row>
    <row r="116" spans="1:14" ht="60" x14ac:dyDescent="0.25">
      <c r="A116" s="19" t="s">
        <v>4655</v>
      </c>
      <c r="B116" s="17" t="s">
        <v>4654</v>
      </c>
      <c r="C116" s="20">
        <v>1</v>
      </c>
      <c r="D116" s="18">
        <v>74.25</v>
      </c>
      <c r="E116" s="20">
        <v>10785494</v>
      </c>
      <c r="F116" s="17" t="s">
        <v>544</v>
      </c>
      <c r="G116" s="19" t="s">
        <v>880</v>
      </c>
      <c r="H116" s="18">
        <v>20.793333333333337</v>
      </c>
      <c r="I116" s="17" t="s">
        <v>358</v>
      </c>
      <c r="J116" s="17" t="s">
        <v>143</v>
      </c>
      <c r="K116" s="17"/>
      <c r="L116" s="17"/>
      <c r="M116" s="16" t="str">
        <f>HYPERLINK("http://slimages.macys.com/is/image/MCY/17826939 ")</f>
        <v xml:space="preserve">http://slimages.macys.com/is/image/MCY/17826939 </v>
      </c>
      <c r="N116" s="30"/>
    </row>
    <row r="117" spans="1:14" ht="96" x14ac:dyDescent="0.25">
      <c r="A117" s="19" t="s">
        <v>8714</v>
      </c>
      <c r="B117" s="17" t="s">
        <v>8713</v>
      </c>
      <c r="C117" s="20">
        <v>1</v>
      </c>
      <c r="D117" s="18">
        <v>67</v>
      </c>
      <c r="E117" s="20" t="s">
        <v>3932</v>
      </c>
      <c r="F117" s="17" t="s">
        <v>330</v>
      </c>
      <c r="G117" s="19" t="s">
        <v>1968</v>
      </c>
      <c r="H117" s="18">
        <v>20.766666666666669</v>
      </c>
      <c r="I117" s="17" t="s">
        <v>33</v>
      </c>
      <c r="J117" s="17" t="s">
        <v>496</v>
      </c>
      <c r="K117" s="17" t="s">
        <v>389</v>
      </c>
      <c r="L117" s="17" t="s">
        <v>668</v>
      </c>
      <c r="M117" s="16" t="str">
        <f>HYPERLINK("http://slimages.macys.com/is/image/MCY/13585182 ")</f>
        <v xml:space="preserve">http://slimages.macys.com/is/image/MCY/13585182 </v>
      </c>
      <c r="N117" s="30"/>
    </row>
    <row r="118" spans="1:14" ht="60" x14ac:dyDescent="0.25">
      <c r="A118" s="19" t="s">
        <v>7630</v>
      </c>
      <c r="B118" s="17" t="s">
        <v>7629</v>
      </c>
      <c r="C118" s="20">
        <v>2</v>
      </c>
      <c r="D118" s="18">
        <v>81.75</v>
      </c>
      <c r="E118" s="20" t="s">
        <v>3926</v>
      </c>
      <c r="F118" s="17" t="s">
        <v>1382</v>
      </c>
      <c r="G118" s="19" t="s">
        <v>880</v>
      </c>
      <c r="H118" s="18">
        <v>20.573333333333334</v>
      </c>
      <c r="I118" s="17" t="s">
        <v>358</v>
      </c>
      <c r="J118" s="17" t="s">
        <v>32</v>
      </c>
      <c r="K118" s="17"/>
      <c r="L118" s="17"/>
      <c r="M118" s="16" t="str">
        <f>HYPERLINK("http://slimages.macys.com/is/image/MCY/19254769 ")</f>
        <v xml:space="preserve">http://slimages.macys.com/is/image/MCY/19254769 </v>
      </c>
      <c r="N118" s="30"/>
    </row>
    <row r="119" spans="1:14" ht="60" x14ac:dyDescent="0.25">
      <c r="A119" s="19" t="s">
        <v>7628</v>
      </c>
      <c r="B119" s="17" t="s">
        <v>7627</v>
      </c>
      <c r="C119" s="20">
        <v>1</v>
      </c>
      <c r="D119" s="18">
        <v>81.75</v>
      </c>
      <c r="E119" s="20" t="s">
        <v>3926</v>
      </c>
      <c r="F119" s="17" t="s">
        <v>1382</v>
      </c>
      <c r="G119" s="19" t="s">
        <v>916</v>
      </c>
      <c r="H119" s="18">
        <v>20.573333333333334</v>
      </c>
      <c r="I119" s="17" t="s">
        <v>358</v>
      </c>
      <c r="J119" s="17" t="s">
        <v>32</v>
      </c>
      <c r="K119" s="17"/>
      <c r="L119" s="17"/>
      <c r="M119" s="16" t="str">
        <f>HYPERLINK("http://slimages.macys.com/is/image/MCY/19254769 ")</f>
        <v xml:space="preserve">http://slimages.macys.com/is/image/MCY/19254769 </v>
      </c>
      <c r="N119" s="30"/>
    </row>
    <row r="120" spans="1:14" ht="60" x14ac:dyDescent="0.25">
      <c r="A120" s="19" t="s">
        <v>8712</v>
      </c>
      <c r="B120" s="17" t="s">
        <v>8711</v>
      </c>
      <c r="C120" s="20">
        <v>1</v>
      </c>
      <c r="D120" s="18">
        <v>99</v>
      </c>
      <c r="E120" s="20">
        <v>10745178</v>
      </c>
      <c r="F120" s="17" t="s">
        <v>51</v>
      </c>
      <c r="G120" s="19" t="s">
        <v>880</v>
      </c>
      <c r="H120" s="18">
        <v>20.46</v>
      </c>
      <c r="I120" s="17" t="s">
        <v>1307</v>
      </c>
      <c r="J120" s="17" t="s">
        <v>1306</v>
      </c>
      <c r="K120" s="17" t="s">
        <v>389</v>
      </c>
      <c r="L120" s="17" t="s">
        <v>662</v>
      </c>
      <c r="M120" s="16" t="str">
        <f>HYPERLINK("http://slimages.macys.com/is/image/MCY/15910728 ")</f>
        <v xml:space="preserve">http://slimages.macys.com/is/image/MCY/15910728 </v>
      </c>
      <c r="N120" s="30"/>
    </row>
    <row r="121" spans="1:14" ht="60" x14ac:dyDescent="0.25">
      <c r="A121" s="19" t="s">
        <v>8710</v>
      </c>
      <c r="B121" s="17" t="s">
        <v>8709</v>
      </c>
      <c r="C121" s="20">
        <v>1</v>
      </c>
      <c r="D121" s="18">
        <v>99.5</v>
      </c>
      <c r="E121" s="20" t="s">
        <v>8708</v>
      </c>
      <c r="F121" s="17" t="s">
        <v>734</v>
      </c>
      <c r="G121" s="19" t="s">
        <v>698</v>
      </c>
      <c r="H121" s="18">
        <v>20.046666666666667</v>
      </c>
      <c r="I121" s="17" t="s">
        <v>106</v>
      </c>
      <c r="J121" s="17" t="s">
        <v>105</v>
      </c>
      <c r="K121" s="17"/>
      <c r="L121" s="17"/>
      <c r="M121" s="16" t="str">
        <f>HYPERLINK("http://slimages.macys.com/is/image/MCY/17807787 ")</f>
        <v xml:space="preserve">http://slimages.macys.com/is/image/MCY/17807787 </v>
      </c>
      <c r="N121" s="30"/>
    </row>
    <row r="122" spans="1:14" ht="60" x14ac:dyDescent="0.25">
      <c r="A122" s="19" t="s">
        <v>8707</v>
      </c>
      <c r="B122" s="17" t="s">
        <v>8706</v>
      </c>
      <c r="C122" s="20">
        <v>1</v>
      </c>
      <c r="D122" s="18">
        <v>119</v>
      </c>
      <c r="E122" s="20">
        <v>10771240</v>
      </c>
      <c r="F122" s="17" t="s">
        <v>575</v>
      </c>
      <c r="G122" s="19" t="s">
        <v>27</v>
      </c>
      <c r="H122" s="18">
        <v>19.833333333333336</v>
      </c>
      <c r="I122" s="17" t="s">
        <v>120</v>
      </c>
      <c r="J122" s="17" t="s">
        <v>119</v>
      </c>
      <c r="K122" s="17"/>
      <c r="L122" s="17"/>
      <c r="M122" s="16" t="str">
        <f>HYPERLINK("http://slimages.macys.com/is/image/MCY/19265518 ")</f>
        <v xml:space="preserve">http://slimages.macys.com/is/image/MCY/19265518 </v>
      </c>
      <c r="N122" s="30"/>
    </row>
    <row r="123" spans="1:14" ht="60" x14ac:dyDescent="0.25">
      <c r="A123" s="19" t="s">
        <v>8705</v>
      </c>
      <c r="B123" s="17" t="s">
        <v>8704</v>
      </c>
      <c r="C123" s="20">
        <v>1</v>
      </c>
      <c r="D123" s="18">
        <v>119</v>
      </c>
      <c r="E123" s="20">
        <v>10771808</v>
      </c>
      <c r="F123" s="17" t="s">
        <v>575</v>
      </c>
      <c r="G123" s="19" t="s">
        <v>116</v>
      </c>
      <c r="H123" s="18">
        <v>19.833333333333336</v>
      </c>
      <c r="I123" s="17" t="s">
        <v>120</v>
      </c>
      <c r="J123" s="17" t="s">
        <v>119</v>
      </c>
      <c r="K123" s="17"/>
      <c r="L123" s="17"/>
      <c r="M123" s="16" t="str">
        <f>HYPERLINK("http://slimages.macys.com/is/image/MCY/19265355 ")</f>
        <v xml:space="preserve">http://slimages.macys.com/is/image/MCY/19265355 </v>
      </c>
      <c r="N123" s="30"/>
    </row>
    <row r="124" spans="1:14" ht="60" x14ac:dyDescent="0.25">
      <c r="A124" s="19" t="s">
        <v>8703</v>
      </c>
      <c r="B124" s="17" t="s">
        <v>8702</v>
      </c>
      <c r="C124" s="20">
        <v>1</v>
      </c>
      <c r="D124" s="18">
        <v>119</v>
      </c>
      <c r="E124" s="20" t="s">
        <v>8701</v>
      </c>
      <c r="F124" s="17" t="s">
        <v>23</v>
      </c>
      <c r="G124" s="19" t="s">
        <v>50</v>
      </c>
      <c r="H124" s="18">
        <v>19.833333333333336</v>
      </c>
      <c r="I124" s="17" t="s">
        <v>129</v>
      </c>
      <c r="J124" s="17" t="s">
        <v>128</v>
      </c>
      <c r="K124" s="17" t="s">
        <v>637</v>
      </c>
      <c r="L124" s="17" t="s">
        <v>8700</v>
      </c>
      <c r="M124" s="16" t="str">
        <f>HYPERLINK("http://images.bloomingdales.com/is/image/BLM/11504279 ")</f>
        <v xml:space="preserve">http://images.bloomingdales.com/is/image/BLM/11504279 </v>
      </c>
      <c r="N124" s="30"/>
    </row>
    <row r="125" spans="1:14" ht="60" x14ac:dyDescent="0.25">
      <c r="A125" s="19" t="s">
        <v>8699</v>
      </c>
      <c r="B125" s="17" t="s">
        <v>8698</v>
      </c>
      <c r="C125" s="20">
        <v>1</v>
      </c>
      <c r="D125" s="18">
        <v>119</v>
      </c>
      <c r="E125" s="20">
        <v>10771240</v>
      </c>
      <c r="F125" s="17" t="s">
        <v>575</v>
      </c>
      <c r="G125" s="19" t="s">
        <v>74</v>
      </c>
      <c r="H125" s="18">
        <v>19.833333333333336</v>
      </c>
      <c r="I125" s="17" t="s">
        <v>120</v>
      </c>
      <c r="J125" s="17" t="s">
        <v>119</v>
      </c>
      <c r="K125" s="17"/>
      <c r="L125" s="17"/>
      <c r="M125" s="16" t="str">
        <f>HYPERLINK("http://slimages.macys.com/is/image/MCY/19265518 ")</f>
        <v xml:space="preserve">http://slimages.macys.com/is/image/MCY/19265518 </v>
      </c>
      <c r="N125" s="30"/>
    </row>
    <row r="126" spans="1:14" ht="60" x14ac:dyDescent="0.25">
      <c r="A126" s="19" t="s">
        <v>8697</v>
      </c>
      <c r="B126" s="17" t="s">
        <v>8696</v>
      </c>
      <c r="C126" s="20">
        <v>1</v>
      </c>
      <c r="D126" s="18">
        <v>99</v>
      </c>
      <c r="E126" s="20" t="s">
        <v>6780</v>
      </c>
      <c r="F126" s="17" t="s">
        <v>58</v>
      </c>
      <c r="G126" s="19" t="s">
        <v>682</v>
      </c>
      <c r="H126" s="18">
        <v>19.8</v>
      </c>
      <c r="I126" s="17" t="s">
        <v>678</v>
      </c>
      <c r="J126" s="17" t="s">
        <v>404</v>
      </c>
      <c r="K126" s="17"/>
      <c r="L126" s="17"/>
      <c r="M126" s="16" t="str">
        <f>HYPERLINK("http://slimages.macys.com/is/image/MCY/19101011 ")</f>
        <v xml:space="preserve">http://slimages.macys.com/is/image/MCY/19101011 </v>
      </c>
      <c r="N126" s="30"/>
    </row>
    <row r="127" spans="1:14" ht="60" x14ac:dyDescent="0.25">
      <c r="A127" s="19" t="s">
        <v>8695</v>
      </c>
      <c r="B127" s="17" t="s">
        <v>8694</v>
      </c>
      <c r="C127" s="20">
        <v>1</v>
      </c>
      <c r="D127" s="18">
        <v>99</v>
      </c>
      <c r="E127" s="20">
        <v>10798756</v>
      </c>
      <c r="F127" s="17" t="s">
        <v>345</v>
      </c>
      <c r="G127" s="19" t="s">
        <v>96</v>
      </c>
      <c r="H127" s="18">
        <v>19.8</v>
      </c>
      <c r="I127" s="17" t="s">
        <v>115</v>
      </c>
      <c r="J127" s="17" t="s">
        <v>1265</v>
      </c>
      <c r="K127" s="17"/>
      <c r="L127" s="17"/>
      <c r="M127" s="16" t="str">
        <f>HYPERLINK("http://slimages.macys.com/is/image/MCY/18544958 ")</f>
        <v xml:space="preserve">http://slimages.macys.com/is/image/MCY/18544958 </v>
      </c>
      <c r="N127" s="30"/>
    </row>
    <row r="128" spans="1:14" ht="60" x14ac:dyDescent="0.25">
      <c r="A128" s="19" t="s">
        <v>8693</v>
      </c>
      <c r="B128" s="17" t="s">
        <v>8692</v>
      </c>
      <c r="C128" s="20">
        <v>1</v>
      </c>
      <c r="D128" s="18">
        <v>99</v>
      </c>
      <c r="E128" s="20">
        <v>10773360</v>
      </c>
      <c r="F128" s="17" t="s">
        <v>578</v>
      </c>
      <c r="G128" s="19" t="s">
        <v>698</v>
      </c>
      <c r="H128" s="18">
        <v>19.8</v>
      </c>
      <c r="I128" s="17" t="s">
        <v>115</v>
      </c>
      <c r="J128" s="17" t="s">
        <v>1265</v>
      </c>
      <c r="K128" s="17"/>
      <c r="L128" s="17"/>
      <c r="M128" s="16" t="str">
        <f>HYPERLINK("http://slimages.macys.com/is/image/MCY/18884210 ")</f>
        <v xml:space="preserve">http://slimages.macys.com/is/image/MCY/18884210 </v>
      </c>
      <c r="N128" s="30"/>
    </row>
    <row r="129" spans="1:14" ht="60" x14ac:dyDescent="0.25">
      <c r="A129" s="19" t="s">
        <v>8691</v>
      </c>
      <c r="B129" s="17" t="s">
        <v>8690</v>
      </c>
      <c r="C129" s="20">
        <v>1</v>
      </c>
      <c r="D129" s="18">
        <v>99</v>
      </c>
      <c r="E129" s="20" t="s">
        <v>8689</v>
      </c>
      <c r="F129" s="17" t="s">
        <v>3037</v>
      </c>
      <c r="G129" s="19" t="s">
        <v>74</v>
      </c>
      <c r="H129" s="18">
        <v>19.8</v>
      </c>
      <c r="I129" s="17" t="s">
        <v>115</v>
      </c>
      <c r="J129" s="17" t="s">
        <v>8688</v>
      </c>
      <c r="K129" s="17" t="s">
        <v>389</v>
      </c>
      <c r="L129" s="17" t="s">
        <v>662</v>
      </c>
      <c r="M129" s="16" t="str">
        <f>HYPERLINK("http://slimages.macys.com/is/image/MCY/19198213 ")</f>
        <v xml:space="preserve">http://slimages.macys.com/is/image/MCY/19198213 </v>
      </c>
      <c r="N129" s="30"/>
    </row>
    <row r="130" spans="1:14" ht="60" x14ac:dyDescent="0.25">
      <c r="A130" s="19" t="s">
        <v>7611</v>
      </c>
      <c r="B130" s="17" t="s">
        <v>7610</v>
      </c>
      <c r="C130" s="20">
        <v>2</v>
      </c>
      <c r="D130" s="18">
        <v>99</v>
      </c>
      <c r="E130" s="20">
        <v>10773360</v>
      </c>
      <c r="F130" s="17" t="s">
        <v>578</v>
      </c>
      <c r="G130" s="19" t="s">
        <v>116</v>
      </c>
      <c r="H130" s="18">
        <v>19.8</v>
      </c>
      <c r="I130" s="17" t="s">
        <v>115</v>
      </c>
      <c r="J130" s="17" t="s">
        <v>1265</v>
      </c>
      <c r="K130" s="17"/>
      <c r="L130" s="17"/>
      <c r="M130" s="16" t="str">
        <f>HYPERLINK("http://slimages.macys.com/is/image/MCY/18884210 ")</f>
        <v xml:space="preserve">http://slimages.macys.com/is/image/MCY/18884210 </v>
      </c>
      <c r="N130" s="30"/>
    </row>
    <row r="131" spans="1:14" ht="60" x14ac:dyDescent="0.25">
      <c r="A131" s="19" t="s">
        <v>8687</v>
      </c>
      <c r="B131" s="17" t="s">
        <v>8686</v>
      </c>
      <c r="C131" s="20">
        <v>1</v>
      </c>
      <c r="D131" s="18">
        <v>99</v>
      </c>
      <c r="E131" s="20" t="s">
        <v>6780</v>
      </c>
      <c r="F131" s="17" t="s">
        <v>58</v>
      </c>
      <c r="G131" s="19" t="s">
        <v>898</v>
      </c>
      <c r="H131" s="18">
        <v>19.8</v>
      </c>
      <c r="I131" s="17" t="s">
        <v>678</v>
      </c>
      <c r="J131" s="17" t="s">
        <v>404</v>
      </c>
      <c r="K131" s="17"/>
      <c r="L131" s="17"/>
      <c r="M131" s="16" t="str">
        <f>HYPERLINK("http://slimages.macys.com/is/image/MCY/19101011 ")</f>
        <v xml:space="preserve">http://slimages.macys.com/is/image/MCY/19101011 </v>
      </c>
      <c r="N131" s="30"/>
    </row>
    <row r="132" spans="1:14" ht="60" x14ac:dyDescent="0.25">
      <c r="A132" s="19" t="s">
        <v>8685</v>
      </c>
      <c r="B132" s="17" t="s">
        <v>8684</v>
      </c>
      <c r="C132" s="20">
        <v>1</v>
      </c>
      <c r="D132" s="18">
        <v>99</v>
      </c>
      <c r="E132" s="20">
        <v>10803664</v>
      </c>
      <c r="F132" s="17" t="s">
        <v>63</v>
      </c>
      <c r="G132" s="19" t="s">
        <v>69</v>
      </c>
      <c r="H132" s="18">
        <v>19.8</v>
      </c>
      <c r="I132" s="17" t="s">
        <v>115</v>
      </c>
      <c r="J132" s="17" t="s">
        <v>114</v>
      </c>
      <c r="K132" s="17"/>
      <c r="L132" s="17"/>
      <c r="M132" s="16" t="str">
        <f>HYPERLINK("http://slimages.macys.com/is/image/MCY/18884132 ")</f>
        <v xml:space="preserve">http://slimages.macys.com/is/image/MCY/18884132 </v>
      </c>
      <c r="N132" s="30"/>
    </row>
    <row r="133" spans="1:14" ht="60" x14ac:dyDescent="0.25">
      <c r="A133" s="19" t="s">
        <v>8683</v>
      </c>
      <c r="B133" s="17" t="s">
        <v>8682</v>
      </c>
      <c r="C133" s="20">
        <v>1</v>
      </c>
      <c r="D133" s="18">
        <v>99</v>
      </c>
      <c r="E133" s="20">
        <v>10773360</v>
      </c>
      <c r="F133" s="17" t="s">
        <v>578</v>
      </c>
      <c r="G133" s="19" t="s">
        <v>658</v>
      </c>
      <c r="H133" s="18">
        <v>19.8</v>
      </c>
      <c r="I133" s="17" t="s">
        <v>115</v>
      </c>
      <c r="J133" s="17" t="s">
        <v>1265</v>
      </c>
      <c r="K133" s="17"/>
      <c r="L133" s="17"/>
      <c r="M133" s="16" t="str">
        <f>HYPERLINK("http://slimages.macys.com/is/image/MCY/18884210 ")</f>
        <v xml:space="preserve">http://slimages.macys.com/is/image/MCY/18884210 </v>
      </c>
      <c r="N133" s="30"/>
    </row>
    <row r="134" spans="1:14" ht="60" x14ac:dyDescent="0.25">
      <c r="A134" s="19" t="s">
        <v>8681</v>
      </c>
      <c r="B134" s="17" t="s">
        <v>8680</v>
      </c>
      <c r="C134" s="20">
        <v>1</v>
      </c>
      <c r="D134" s="18">
        <v>89</v>
      </c>
      <c r="E134" s="20" t="s">
        <v>5196</v>
      </c>
      <c r="F134" s="17" t="s">
        <v>3876</v>
      </c>
      <c r="G134" s="19" t="s">
        <v>17</v>
      </c>
      <c r="H134" s="18">
        <v>19.64</v>
      </c>
      <c r="I134" s="17" t="s">
        <v>49</v>
      </c>
      <c r="J134" s="17" t="s">
        <v>48</v>
      </c>
      <c r="K134" s="17"/>
      <c r="L134" s="17"/>
      <c r="M134" s="16" t="str">
        <f>HYPERLINK("http://slimages.macys.com/is/image/MCY/18534796 ")</f>
        <v xml:space="preserve">http://slimages.macys.com/is/image/MCY/18534796 </v>
      </c>
      <c r="N134" s="30"/>
    </row>
    <row r="135" spans="1:14" ht="60" x14ac:dyDescent="0.25">
      <c r="A135" s="19" t="s">
        <v>8679</v>
      </c>
      <c r="B135" s="17" t="s">
        <v>8678</v>
      </c>
      <c r="C135" s="20">
        <v>1</v>
      </c>
      <c r="D135" s="18">
        <v>89</v>
      </c>
      <c r="E135" s="20" t="s">
        <v>5196</v>
      </c>
      <c r="F135" s="17" t="s">
        <v>3009</v>
      </c>
      <c r="G135" s="19" t="s">
        <v>50</v>
      </c>
      <c r="H135" s="18">
        <v>19.64</v>
      </c>
      <c r="I135" s="17" t="s">
        <v>49</v>
      </c>
      <c r="J135" s="17" t="s">
        <v>48</v>
      </c>
      <c r="K135" s="17"/>
      <c r="L135" s="17"/>
      <c r="M135" s="16" t="str">
        <f>HYPERLINK("http://slimages.macys.com/is/image/MCY/18534796 ")</f>
        <v xml:space="preserve">http://slimages.macys.com/is/image/MCY/18534796 </v>
      </c>
      <c r="N135" s="30"/>
    </row>
    <row r="136" spans="1:14" ht="60" x14ac:dyDescent="0.25">
      <c r="A136" s="19" t="s">
        <v>8677</v>
      </c>
      <c r="B136" s="17" t="s">
        <v>8676</v>
      </c>
      <c r="C136" s="20">
        <v>1</v>
      </c>
      <c r="D136" s="18">
        <v>79</v>
      </c>
      <c r="E136" s="20" t="s">
        <v>8675</v>
      </c>
      <c r="F136" s="17" t="s">
        <v>282</v>
      </c>
      <c r="G136" s="19" t="s">
        <v>682</v>
      </c>
      <c r="H136" s="18">
        <v>19.226666666666667</v>
      </c>
      <c r="I136" s="17" t="s">
        <v>1363</v>
      </c>
      <c r="J136" s="17" t="s">
        <v>1362</v>
      </c>
      <c r="K136" s="17" t="s">
        <v>1945</v>
      </c>
      <c r="L136" s="17" t="s">
        <v>1804</v>
      </c>
      <c r="M136" s="16" t="str">
        <f>HYPERLINK("http://images.bloomingdales.com/is/image/BLM/11529271 ")</f>
        <v xml:space="preserve">http://images.bloomingdales.com/is/image/BLM/11529271 </v>
      </c>
      <c r="N136" s="30"/>
    </row>
    <row r="137" spans="1:14" ht="60" x14ac:dyDescent="0.25">
      <c r="A137" s="19" t="s">
        <v>8674</v>
      </c>
      <c r="B137" s="17" t="s">
        <v>8673</v>
      </c>
      <c r="C137" s="20">
        <v>1</v>
      </c>
      <c r="D137" s="18">
        <v>89</v>
      </c>
      <c r="E137" s="20" t="s">
        <v>8672</v>
      </c>
      <c r="F137" s="17" t="s">
        <v>58</v>
      </c>
      <c r="G137" s="19" t="s">
        <v>101</v>
      </c>
      <c r="H137" s="18">
        <v>18.993333333333336</v>
      </c>
      <c r="I137" s="17" t="s">
        <v>49</v>
      </c>
      <c r="J137" s="17" t="s">
        <v>48</v>
      </c>
      <c r="K137" s="17"/>
      <c r="L137" s="17"/>
      <c r="M137" s="16" t="str">
        <f>HYPERLINK("http://slimages.macys.com/is/image/MCY/18280671 ")</f>
        <v xml:space="preserve">http://slimages.macys.com/is/image/MCY/18280671 </v>
      </c>
      <c r="N137" s="30"/>
    </row>
    <row r="138" spans="1:14" ht="84" x14ac:dyDescent="0.25">
      <c r="A138" s="19" t="s">
        <v>8671</v>
      </c>
      <c r="B138" s="17" t="s">
        <v>8670</v>
      </c>
      <c r="C138" s="20">
        <v>1</v>
      </c>
      <c r="D138" s="18">
        <v>109</v>
      </c>
      <c r="E138" s="20" t="s">
        <v>8669</v>
      </c>
      <c r="F138" s="17" t="s">
        <v>433</v>
      </c>
      <c r="G138" s="19" t="s">
        <v>6857</v>
      </c>
      <c r="H138" s="18">
        <v>18.893333333333334</v>
      </c>
      <c r="I138" s="17" t="s">
        <v>115</v>
      </c>
      <c r="J138" s="17" t="s">
        <v>3843</v>
      </c>
      <c r="K138" s="17" t="s">
        <v>389</v>
      </c>
      <c r="L138" s="17" t="s">
        <v>548</v>
      </c>
      <c r="M138" s="16" t="str">
        <f>HYPERLINK("http://slimages.macys.com/is/image/MCY/12936409 ")</f>
        <v xml:space="preserve">http://slimages.macys.com/is/image/MCY/12936409 </v>
      </c>
      <c r="N138" s="30"/>
    </row>
    <row r="139" spans="1:14" ht="60" x14ac:dyDescent="0.25">
      <c r="A139" s="19" t="s">
        <v>8668</v>
      </c>
      <c r="B139" s="17" t="s">
        <v>8667</v>
      </c>
      <c r="C139" s="20">
        <v>1</v>
      </c>
      <c r="D139" s="18">
        <v>66.75</v>
      </c>
      <c r="E139" s="20">
        <v>10763966</v>
      </c>
      <c r="F139" s="17" t="s">
        <v>544</v>
      </c>
      <c r="G139" s="19" t="s">
        <v>271</v>
      </c>
      <c r="H139" s="18">
        <v>18.693333333333332</v>
      </c>
      <c r="I139" s="17" t="s">
        <v>358</v>
      </c>
      <c r="J139" s="17" t="s">
        <v>143</v>
      </c>
      <c r="K139" s="17"/>
      <c r="L139" s="17"/>
      <c r="M139" s="16" t="str">
        <f>HYPERLINK("http://slimages.macys.com/is/image/MCY/18301560 ")</f>
        <v xml:space="preserve">http://slimages.macys.com/is/image/MCY/18301560 </v>
      </c>
      <c r="N139" s="30"/>
    </row>
    <row r="140" spans="1:14" ht="60" x14ac:dyDescent="0.25">
      <c r="A140" s="19" t="s">
        <v>8666</v>
      </c>
      <c r="B140" s="17" t="s">
        <v>8665</v>
      </c>
      <c r="C140" s="20">
        <v>1</v>
      </c>
      <c r="D140" s="18">
        <v>66.75</v>
      </c>
      <c r="E140" s="20">
        <v>10771222</v>
      </c>
      <c r="F140" s="17" t="s">
        <v>263</v>
      </c>
      <c r="G140" s="19" t="s">
        <v>880</v>
      </c>
      <c r="H140" s="18">
        <v>18.693333333333332</v>
      </c>
      <c r="I140" s="17" t="s">
        <v>358</v>
      </c>
      <c r="J140" s="17" t="s">
        <v>143</v>
      </c>
      <c r="K140" s="17"/>
      <c r="L140" s="17"/>
      <c r="M140" s="16" t="str">
        <f>HYPERLINK("http://slimages.macys.com/is/image/MCY/18737353 ")</f>
        <v xml:space="preserve">http://slimages.macys.com/is/image/MCY/18737353 </v>
      </c>
      <c r="N140" s="30"/>
    </row>
    <row r="141" spans="1:14" ht="60" x14ac:dyDescent="0.25">
      <c r="A141" s="19" t="s">
        <v>8664</v>
      </c>
      <c r="B141" s="17" t="s">
        <v>8663</v>
      </c>
      <c r="C141" s="20">
        <v>1</v>
      </c>
      <c r="D141" s="18">
        <v>66.75</v>
      </c>
      <c r="E141" s="20">
        <v>10771222</v>
      </c>
      <c r="F141" s="17" t="s">
        <v>263</v>
      </c>
      <c r="G141" s="19" t="s">
        <v>1191</v>
      </c>
      <c r="H141" s="18">
        <v>18.693333333333332</v>
      </c>
      <c r="I141" s="17" t="s">
        <v>358</v>
      </c>
      <c r="J141" s="17" t="s">
        <v>143</v>
      </c>
      <c r="K141" s="17"/>
      <c r="L141" s="17"/>
      <c r="M141" s="16" t="str">
        <f>HYPERLINK("http://slimages.macys.com/is/image/MCY/18737353 ")</f>
        <v xml:space="preserve">http://slimages.macys.com/is/image/MCY/18737353 </v>
      </c>
      <c r="N141" s="30"/>
    </row>
    <row r="142" spans="1:14" ht="60" x14ac:dyDescent="0.25">
      <c r="A142" s="19" t="s">
        <v>8662</v>
      </c>
      <c r="B142" s="17" t="s">
        <v>8661</v>
      </c>
      <c r="C142" s="20">
        <v>1</v>
      </c>
      <c r="D142" s="18">
        <v>66.75</v>
      </c>
      <c r="E142" s="20">
        <v>10778434</v>
      </c>
      <c r="F142" s="17" t="s">
        <v>23</v>
      </c>
      <c r="G142" s="19" t="s">
        <v>139</v>
      </c>
      <c r="H142" s="18">
        <v>18.693333333333332</v>
      </c>
      <c r="I142" s="17" t="s">
        <v>358</v>
      </c>
      <c r="J142" s="17" t="s">
        <v>143</v>
      </c>
      <c r="K142" s="17"/>
      <c r="L142" s="17"/>
      <c r="M142" s="16" t="str">
        <f>HYPERLINK("http://slimages.macys.com/is/image/MCY/17749607 ")</f>
        <v xml:space="preserve">http://slimages.macys.com/is/image/MCY/17749607 </v>
      </c>
      <c r="N142" s="30"/>
    </row>
    <row r="143" spans="1:14" ht="60" x14ac:dyDescent="0.25">
      <c r="A143" s="19" t="s">
        <v>8660</v>
      </c>
      <c r="B143" s="17" t="s">
        <v>8659</v>
      </c>
      <c r="C143" s="20">
        <v>1</v>
      </c>
      <c r="D143" s="18">
        <v>74.25</v>
      </c>
      <c r="E143" s="20" t="s">
        <v>7910</v>
      </c>
      <c r="F143" s="17" t="s">
        <v>149</v>
      </c>
      <c r="G143" s="19" t="s">
        <v>1445</v>
      </c>
      <c r="H143" s="18">
        <v>18.686666666666667</v>
      </c>
      <c r="I143" s="17" t="s">
        <v>358</v>
      </c>
      <c r="J143" s="17" t="s">
        <v>32</v>
      </c>
      <c r="K143" s="17"/>
      <c r="L143" s="17"/>
      <c r="M143" s="16" t="str">
        <f>HYPERLINK("http://slimages.macys.com/is/image/MCY/18580214 ")</f>
        <v xml:space="preserve">http://slimages.macys.com/is/image/MCY/18580214 </v>
      </c>
      <c r="N143" s="30"/>
    </row>
    <row r="144" spans="1:14" ht="60" x14ac:dyDescent="0.25">
      <c r="A144" s="19" t="s">
        <v>8658</v>
      </c>
      <c r="B144" s="17" t="s">
        <v>8657</v>
      </c>
      <c r="C144" s="20">
        <v>2</v>
      </c>
      <c r="D144" s="18">
        <v>74.25</v>
      </c>
      <c r="E144" s="20" t="s">
        <v>7910</v>
      </c>
      <c r="F144" s="17" t="s">
        <v>149</v>
      </c>
      <c r="G144" s="19" t="s">
        <v>880</v>
      </c>
      <c r="H144" s="18">
        <v>18.686666666666667</v>
      </c>
      <c r="I144" s="17" t="s">
        <v>358</v>
      </c>
      <c r="J144" s="17" t="s">
        <v>32</v>
      </c>
      <c r="K144" s="17"/>
      <c r="L144" s="17"/>
      <c r="M144" s="16" t="str">
        <f>HYPERLINK("http://slimages.macys.com/is/image/MCY/18580214 ")</f>
        <v xml:space="preserve">http://slimages.macys.com/is/image/MCY/18580214 </v>
      </c>
      <c r="N144" s="30"/>
    </row>
    <row r="145" spans="1:14" ht="60" x14ac:dyDescent="0.25">
      <c r="A145" s="19" t="s">
        <v>5931</v>
      </c>
      <c r="B145" s="17" t="s">
        <v>5930</v>
      </c>
      <c r="C145" s="20">
        <v>1</v>
      </c>
      <c r="D145" s="18">
        <v>74.25</v>
      </c>
      <c r="E145" s="20" t="s">
        <v>5929</v>
      </c>
      <c r="F145" s="17" t="s">
        <v>1382</v>
      </c>
      <c r="G145" s="19" t="s">
        <v>1968</v>
      </c>
      <c r="H145" s="18">
        <v>18.686666666666667</v>
      </c>
      <c r="I145" s="17" t="s">
        <v>33</v>
      </c>
      <c r="J145" s="17" t="s">
        <v>32</v>
      </c>
      <c r="K145" s="17"/>
      <c r="L145" s="17"/>
      <c r="M145" s="16" t="str">
        <f>HYPERLINK("http://slimages.macys.com/is/image/MCY/19321428 ")</f>
        <v xml:space="preserve">http://slimages.macys.com/is/image/MCY/19321428 </v>
      </c>
      <c r="N145" s="30"/>
    </row>
    <row r="146" spans="1:14" ht="60" x14ac:dyDescent="0.25">
      <c r="A146" s="19" t="s">
        <v>8656</v>
      </c>
      <c r="B146" s="17" t="s">
        <v>8655</v>
      </c>
      <c r="C146" s="20">
        <v>1</v>
      </c>
      <c r="D146" s="18">
        <v>74.25</v>
      </c>
      <c r="E146" s="20" t="s">
        <v>8654</v>
      </c>
      <c r="F146" s="17" t="s">
        <v>58</v>
      </c>
      <c r="G146" s="19" t="s">
        <v>916</v>
      </c>
      <c r="H146" s="18">
        <v>18.686666666666667</v>
      </c>
      <c r="I146" s="17" t="s">
        <v>358</v>
      </c>
      <c r="J146" s="17" t="s">
        <v>32</v>
      </c>
      <c r="K146" s="17"/>
      <c r="L146" s="17"/>
      <c r="M146" s="16" t="str">
        <f>HYPERLINK("http://slimages.macys.com/is/image/MCY/18402726 ")</f>
        <v xml:space="preserve">http://slimages.macys.com/is/image/MCY/18402726 </v>
      </c>
      <c r="N146" s="30"/>
    </row>
    <row r="147" spans="1:14" ht="60" x14ac:dyDescent="0.25">
      <c r="A147" s="19" t="s">
        <v>8653</v>
      </c>
      <c r="B147" s="17" t="s">
        <v>8652</v>
      </c>
      <c r="C147" s="20">
        <v>1</v>
      </c>
      <c r="D147" s="18">
        <v>74.25</v>
      </c>
      <c r="E147" s="20" t="s">
        <v>6754</v>
      </c>
      <c r="F147" s="17" t="s">
        <v>28</v>
      </c>
      <c r="G147" s="19"/>
      <c r="H147" s="18">
        <v>18.68</v>
      </c>
      <c r="I147" s="17" t="s">
        <v>358</v>
      </c>
      <c r="J147" s="17" t="s">
        <v>32</v>
      </c>
      <c r="K147" s="17"/>
      <c r="L147" s="17"/>
      <c r="M147" s="16" t="str">
        <f>HYPERLINK("http://slimages.macys.com/is/image/MCY/18995753 ")</f>
        <v xml:space="preserve">http://slimages.macys.com/is/image/MCY/18995753 </v>
      </c>
      <c r="N147" s="30"/>
    </row>
    <row r="148" spans="1:14" ht="60" x14ac:dyDescent="0.25">
      <c r="A148" s="19" t="s">
        <v>8651</v>
      </c>
      <c r="B148" s="17" t="s">
        <v>8650</v>
      </c>
      <c r="C148" s="20">
        <v>1</v>
      </c>
      <c r="D148" s="18">
        <v>74.25</v>
      </c>
      <c r="E148" s="20" t="s">
        <v>6754</v>
      </c>
      <c r="F148" s="17" t="s">
        <v>28</v>
      </c>
      <c r="G148" s="19" t="s">
        <v>916</v>
      </c>
      <c r="H148" s="18">
        <v>18.68</v>
      </c>
      <c r="I148" s="17" t="s">
        <v>358</v>
      </c>
      <c r="J148" s="17" t="s">
        <v>32</v>
      </c>
      <c r="K148" s="17"/>
      <c r="L148" s="17"/>
      <c r="M148" s="16" t="str">
        <f>HYPERLINK("http://slimages.macys.com/is/image/MCY/18995753 ")</f>
        <v xml:space="preserve">http://slimages.macys.com/is/image/MCY/18995753 </v>
      </c>
      <c r="N148" s="30"/>
    </row>
    <row r="149" spans="1:14" ht="60" x14ac:dyDescent="0.25">
      <c r="A149" s="19" t="s">
        <v>8649</v>
      </c>
      <c r="B149" s="17" t="s">
        <v>8648</v>
      </c>
      <c r="C149" s="20">
        <v>1</v>
      </c>
      <c r="D149" s="18">
        <v>74.25</v>
      </c>
      <c r="E149" s="20" t="s">
        <v>6754</v>
      </c>
      <c r="F149" s="17" t="s">
        <v>28</v>
      </c>
      <c r="G149" s="19" t="s">
        <v>1191</v>
      </c>
      <c r="H149" s="18">
        <v>18.68</v>
      </c>
      <c r="I149" s="17" t="s">
        <v>358</v>
      </c>
      <c r="J149" s="17" t="s">
        <v>32</v>
      </c>
      <c r="K149" s="17"/>
      <c r="L149" s="17"/>
      <c r="M149" s="16" t="str">
        <f>HYPERLINK("http://slimages.macys.com/is/image/MCY/18995753 ")</f>
        <v xml:space="preserve">http://slimages.macys.com/is/image/MCY/18995753 </v>
      </c>
      <c r="N149" s="30"/>
    </row>
    <row r="150" spans="1:14" ht="60" x14ac:dyDescent="0.25">
      <c r="A150" s="19" t="s">
        <v>8647</v>
      </c>
      <c r="B150" s="17" t="s">
        <v>8646</v>
      </c>
      <c r="C150" s="20">
        <v>1</v>
      </c>
      <c r="D150" s="18">
        <v>240</v>
      </c>
      <c r="E150" s="20">
        <v>50039077</v>
      </c>
      <c r="F150" s="17" t="s">
        <v>51</v>
      </c>
      <c r="G150" s="19" t="s">
        <v>1292</v>
      </c>
      <c r="H150" s="18">
        <v>18.666666666666668</v>
      </c>
      <c r="I150" s="17" t="s">
        <v>879</v>
      </c>
      <c r="J150" s="17" t="s">
        <v>850</v>
      </c>
      <c r="K150" s="17"/>
      <c r="L150" s="17"/>
      <c r="M150" s="16" t="str">
        <f>HYPERLINK("http://slimages.macys.com/is/image/MCY/16647020 ")</f>
        <v xml:space="preserve">http://slimages.macys.com/is/image/MCY/16647020 </v>
      </c>
      <c r="N150" s="30"/>
    </row>
    <row r="151" spans="1:14" ht="60" x14ac:dyDescent="0.25">
      <c r="A151" s="19" t="s">
        <v>8645</v>
      </c>
      <c r="B151" s="17" t="s">
        <v>8644</v>
      </c>
      <c r="C151" s="20">
        <v>1</v>
      </c>
      <c r="D151" s="18">
        <v>99</v>
      </c>
      <c r="E151" s="20">
        <v>10803576</v>
      </c>
      <c r="F151" s="17" t="s">
        <v>63</v>
      </c>
      <c r="G151" s="19" t="s">
        <v>197</v>
      </c>
      <c r="H151" s="18">
        <v>18.48</v>
      </c>
      <c r="I151" s="17" t="s">
        <v>115</v>
      </c>
      <c r="J151" s="17" t="s">
        <v>114</v>
      </c>
      <c r="K151" s="17"/>
      <c r="L151" s="17"/>
      <c r="M151" s="16" t="str">
        <f>HYPERLINK("http://slimages.macys.com/is/image/MCY/19049937 ")</f>
        <v xml:space="preserve">http://slimages.macys.com/is/image/MCY/19049937 </v>
      </c>
      <c r="N151" s="30"/>
    </row>
    <row r="152" spans="1:14" ht="60" x14ac:dyDescent="0.25">
      <c r="A152" s="19" t="s">
        <v>8643</v>
      </c>
      <c r="B152" s="17" t="s">
        <v>8642</v>
      </c>
      <c r="C152" s="20">
        <v>1</v>
      </c>
      <c r="D152" s="18">
        <v>99</v>
      </c>
      <c r="E152" s="20">
        <v>10802348</v>
      </c>
      <c r="F152" s="17" t="s">
        <v>578</v>
      </c>
      <c r="G152" s="19" t="s">
        <v>57</v>
      </c>
      <c r="H152" s="18">
        <v>18.48</v>
      </c>
      <c r="I152" s="17" t="s">
        <v>115</v>
      </c>
      <c r="J152" s="17" t="s">
        <v>114</v>
      </c>
      <c r="K152" s="17"/>
      <c r="L152" s="17"/>
      <c r="M152" s="16" t="str">
        <f>HYPERLINK("http://slimages.macys.com/is/image/MCY/18720215 ")</f>
        <v xml:space="preserve">http://slimages.macys.com/is/image/MCY/18720215 </v>
      </c>
      <c r="N152" s="30"/>
    </row>
    <row r="153" spans="1:14" ht="60" x14ac:dyDescent="0.25">
      <c r="A153" s="19" t="s">
        <v>8641</v>
      </c>
      <c r="B153" s="17" t="s">
        <v>8640</v>
      </c>
      <c r="C153" s="20">
        <v>1</v>
      </c>
      <c r="D153" s="18">
        <v>79</v>
      </c>
      <c r="E153" s="20" t="s">
        <v>8639</v>
      </c>
      <c r="F153" s="17" t="s">
        <v>63</v>
      </c>
      <c r="G153" s="19" t="s">
        <v>271</v>
      </c>
      <c r="H153" s="18">
        <v>18.433333333333334</v>
      </c>
      <c r="I153" s="17" t="s">
        <v>1891</v>
      </c>
      <c r="J153" s="17" t="s">
        <v>2435</v>
      </c>
      <c r="K153" s="17" t="s">
        <v>389</v>
      </c>
      <c r="L153" s="17" t="s">
        <v>1129</v>
      </c>
      <c r="M153" s="16" t="str">
        <f>HYPERLINK("http://slimages.macys.com/is/image/MCY/15271420 ")</f>
        <v xml:space="preserve">http://slimages.macys.com/is/image/MCY/15271420 </v>
      </c>
      <c r="N153" s="30"/>
    </row>
    <row r="154" spans="1:14" ht="60" x14ac:dyDescent="0.25">
      <c r="A154" s="19" t="s">
        <v>8638</v>
      </c>
      <c r="B154" s="17" t="s">
        <v>8637</v>
      </c>
      <c r="C154" s="20">
        <v>1</v>
      </c>
      <c r="D154" s="18">
        <v>89</v>
      </c>
      <c r="E154" s="20">
        <v>10758376</v>
      </c>
      <c r="F154" s="17" t="s">
        <v>44</v>
      </c>
      <c r="G154" s="19" t="s">
        <v>857</v>
      </c>
      <c r="H154" s="18">
        <v>18.393333333333334</v>
      </c>
      <c r="I154" s="17" t="s">
        <v>144</v>
      </c>
      <c r="J154" s="17" t="s">
        <v>143</v>
      </c>
      <c r="K154" s="17"/>
      <c r="L154" s="17"/>
      <c r="M154" s="16" t="str">
        <f>HYPERLINK("http://slimages.macys.com/is/image/MCY/18302119 ")</f>
        <v xml:space="preserve">http://slimages.macys.com/is/image/MCY/18302119 </v>
      </c>
      <c r="N154" s="30"/>
    </row>
    <row r="155" spans="1:14" ht="60" x14ac:dyDescent="0.25">
      <c r="A155" s="19" t="s">
        <v>8636</v>
      </c>
      <c r="B155" s="17" t="s">
        <v>8635</v>
      </c>
      <c r="C155" s="20">
        <v>1</v>
      </c>
      <c r="D155" s="18">
        <v>59.98</v>
      </c>
      <c r="E155" s="20" t="s">
        <v>8634</v>
      </c>
      <c r="F155" s="17" t="s">
        <v>578</v>
      </c>
      <c r="G155" s="19" t="s">
        <v>4021</v>
      </c>
      <c r="H155" s="18">
        <v>18.393333333333334</v>
      </c>
      <c r="I155" s="17" t="s">
        <v>33</v>
      </c>
      <c r="J155" s="17" t="s">
        <v>32</v>
      </c>
      <c r="K155" s="17" t="s">
        <v>389</v>
      </c>
      <c r="L155" s="17" t="s">
        <v>5612</v>
      </c>
      <c r="M155" s="16" t="str">
        <f>HYPERLINK("http://slimages.macys.com/is/image/MCY/9958573 ")</f>
        <v xml:space="preserve">http://slimages.macys.com/is/image/MCY/9958573 </v>
      </c>
      <c r="N155" s="30"/>
    </row>
    <row r="156" spans="1:14" ht="60" x14ac:dyDescent="0.25">
      <c r="A156" s="19" t="s">
        <v>5164</v>
      </c>
      <c r="B156" s="17" t="s">
        <v>5163</v>
      </c>
      <c r="C156" s="20">
        <v>1</v>
      </c>
      <c r="D156" s="18">
        <v>89.5</v>
      </c>
      <c r="E156" s="20" t="s">
        <v>5162</v>
      </c>
      <c r="F156" s="17" t="s">
        <v>51</v>
      </c>
      <c r="G156" s="19" t="s">
        <v>658</v>
      </c>
      <c r="H156" s="18">
        <v>18.033333333333335</v>
      </c>
      <c r="I156" s="17" t="s">
        <v>106</v>
      </c>
      <c r="J156" s="17" t="s">
        <v>105</v>
      </c>
      <c r="K156" s="17"/>
      <c r="L156" s="17"/>
      <c r="M156" s="16" t="str">
        <f>HYPERLINK("http://slimages.macys.com/is/image/MCY/19387364 ")</f>
        <v xml:space="preserve">http://slimages.macys.com/is/image/MCY/19387364 </v>
      </c>
      <c r="N156" s="30"/>
    </row>
    <row r="157" spans="1:14" ht="60" x14ac:dyDescent="0.25">
      <c r="A157" s="19" t="s">
        <v>8633</v>
      </c>
      <c r="B157" s="17" t="s">
        <v>8632</v>
      </c>
      <c r="C157" s="20">
        <v>1</v>
      </c>
      <c r="D157" s="18">
        <v>89.5</v>
      </c>
      <c r="E157" s="20" t="s">
        <v>5162</v>
      </c>
      <c r="F157" s="17" t="s">
        <v>51</v>
      </c>
      <c r="G157" s="19" t="s">
        <v>116</v>
      </c>
      <c r="H157" s="18">
        <v>18.033333333333335</v>
      </c>
      <c r="I157" s="17" t="s">
        <v>106</v>
      </c>
      <c r="J157" s="17" t="s">
        <v>105</v>
      </c>
      <c r="K157" s="17"/>
      <c r="L157" s="17"/>
      <c r="M157" s="16" t="str">
        <f>HYPERLINK("http://slimages.macys.com/is/image/MCY/19387364 ")</f>
        <v xml:space="preserve">http://slimages.macys.com/is/image/MCY/19387364 </v>
      </c>
      <c r="N157" s="30"/>
    </row>
    <row r="158" spans="1:14" ht="96" x14ac:dyDescent="0.25">
      <c r="A158" s="19" t="s">
        <v>8631</v>
      </c>
      <c r="B158" s="17" t="s">
        <v>8630</v>
      </c>
      <c r="C158" s="20">
        <v>1</v>
      </c>
      <c r="D158" s="18">
        <v>81.75</v>
      </c>
      <c r="E158" s="20" t="s">
        <v>8627</v>
      </c>
      <c r="F158" s="17" t="s">
        <v>51</v>
      </c>
      <c r="G158" s="19"/>
      <c r="H158" s="18">
        <v>17.846666666666668</v>
      </c>
      <c r="I158" s="17" t="s">
        <v>358</v>
      </c>
      <c r="J158" s="17" t="s">
        <v>32</v>
      </c>
      <c r="K158" s="17" t="s">
        <v>389</v>
      </c>
      <c r="L158" s="17" t="s">
        <v>8626</v>
      </c>
      <c r="M158" s="16" t="str">
        <f>HYPERLINK("http://slimages.macys.com/is/image/MCY/15001677 ")</f>
        <v xml:space="preserve">http://slimages.macys.com/is/image/MCY/15001677 </v>
      </c>
      <c r="N158" s="30"/>
    </row>
    <row r="159" spans="1:14" ht="96" x14ac:dyDescent="0.25">
      <c r="A159" s="19" t="s">
        <v>8629</v>
      </c>
      <c r="B159" s="17" t="s">
        <v>8628</v>
      </c>
      <c r="C159" s="20">
        <v>1</v>
      </c>
      <c r="D159" s="18">
        <v>81.75</v>
      </c>
      <c r="E159" s="20" t="s">
        <v>8627</v>
      </c>
      <c r="F159" s="17" t="s">
        <v>51</v>
      </c>
      <c r="G159" s="19" t="s">
        <v>1292</v>
      </c>
      <c r="H159" s="18">
        <v>17.846666666666668</v>
      </c>
      <c r="I159" s="17" t="s">
        <v>358</v>
      </c>
      <c r="J159" s="17" t="s">
        <v>32</v>
      </c>
      <c r="K159" s="17" t="s">
        <v>389</v>
      </c>
      <c r="L159" s="17" t="s">
        <v>8626</v>
      </c>
      <c r="M159" s="16" t="str">
        <f>HYPERLINK("http://slimages.macys.com/is/image/MCY/15001677 ")</f>
        <v xml:space="preserve">http://slimages.macys.com/is/image/MCY/15001677 </v>
      </c>
      <c r="N159" s="30"/>
    </row>
    <row r="160" spans="1:14" ht="60" x14ac:dyDescent="0.25">
      <c r="A160" s="19" t="s">
        <v>8625</v>
      </c>
      <c r="B160" s="17" t="s">
        <v>8624</v>
      </c>
      <c r="C160" s="20">
        <v>1</v>
      </c>
      <c r="D160" s="18">
        <v>69</v>
      </c>
      <c r="E160" s="20" t="s">
        <v>8623</v>
      </c>
      <c r="F160" s="17" t="s">
        <v>575</v>
      </c>
      <c r="G160" s="19" t="s">
        <v>8622</v>
      </c>
      <c r="H160" s="18">
        <v>17.826666666666668</v>
      </c>
      <c r="I160" s="17" t="s">
        <v>148</v>
      </c>
      <c r="J160" s="17" t="s">
        <v>8621</v>
      </c>
      <c r="K160" s="17"/>
      <c r="L160" s="17"/>
      <c r="M160" s="16" t="str">
        <f>HYPERLINK("http://slimages.macys.com/is/image/MCY/17880871 ")</f>
        <v xml:space="preserve">http://slimages.macys.com/is/image/MCY/17880871 </v>
      </c>
      <c r="N160" s="30"/>
    </row>
    <row r="161" spans="1:14" ht="60" x14ac:dyDescent="0.25">
      <c r="A161" s="19" t="s">
        <v>8620</v>
      </c>
      <c r="B161" s="17" t="s">
        <v>8619</v>
      </c>
      <c r="C161" s="20">
        <v>1</v>
      </c>
      <c r="D161" s="18">
        <v>89</v>
      </c>
      <c r="E161" s="20">
        <v>10804602</v>
      </c>
      <c r="F161" s="17" t="s">
        <v>282</v>
      </c>
      <c r="G161" s="19" t="s">
        <v>351</v>
      </c>
      <c r="H161" s="18">
        <v>17.8</v>
      </c>
      <c r="I161" s="17" t="s">
        <v>358</v>
      </c>
      <c r="J161" s="17" t="s">
        <v>554</v>
      </c>
      <c r="K161" s="17"/>
      <c r="L161" s="17"/>
      <c r="M161" s="16" t="str">
        <f>HYPERLINK("http://slimages.macys.com/is/image/MCY/18874161 ")</f>
        <v xml:space="preserve">http://slimages.macys.com/is/image/MCY/18874161 </v>
      </c>
      <c r="N161" s="30"/>
    </row>
    <row r="162" spans="1:14" ht="60" x14ac:dyDescent="0.25">
      <c r="A162" s="19" t="s">
        <v>6733</v>
      </c>
      <c r="B162" s="17" t="s">
        <v>6732</v>
      </c>
      <c r="C162" s="20">
        <v>1</v>
      </c>
      <c r="D162" s="18">
        <v>89</v>
      </c>
      <c r="E162" s="20">
        <v>10804602</v>
      </c>
      <c r="F162" s="17" t="s">
        <v>282</v>
      </c>
      <c r="G162" s="19" t="s">
        <v>271</v>
      </c>
      <c r="H162" s="18">
        <v>17.8</v>
      </c>
      <c r="I162" s="17" t="s">
        <v>358</v>
      </c>
      <c r="J162" s="17" t="s">
        <v>554</v>
      </c>
      <c r="K162" s="17"/>
      <c r="L162" s="17"/>
      <c r="M162" s="16" t="str">
        <f>HYPERLINK("http://slimages.macys.com/is/image/MCY/18874161 ")</f>
        <v xml:space="preserve">http://slimages.macys.com/is/image/MCY/18874161 </v>
      </c>
      <c r="N162" s="30"/>
    </row>
    <row r="163" spans="1:14" ht="60" x14ac:dyDescent="0.25">
      <c r="A163" s="19" t="s">
        <v>8618</v>
      </c>
      <c r="B163" s="17" t="s">
        <v>8617</v>
      </c>
      <c r="C163" s="20">
        <v>1</v>
      </c>
      <c r="D163" s="18">
        <v>89</v>
      </c>
      <c r="E163" s="20">
        <v>10759050</v>
      </c>
      <c r="F163" s="17" t="s">
        <v>263</v>
      </c>
      <c r="G163" s="19" t="s">
        <v>880</v>
      </c>
      <c r="H163" s="18">
        <v>17.8</v>
      </c>
      <c r="I163" s="17" t="s">
        <v>358</v>
      </c>
      <c r="J163" s="17" t="s">
        <v>554</v>
      </c>
      <c r="K163" s="17"/>
      <c r="L163" s="17"/>
      <c r="M163" s="16" t="str">
        <f>HYPERLINK("http://slimages.macys.com/is/image/MCY/16879238 ")</f>
        <v xml:space="preserve">http://slimages.macys.com/is/image/MCY/16879238 </v>
      </c>
      <c r="N163" s="30"/>
    </row>
    <row r="164" spans="1:14" ht="60" x14ac:dyDescent="0.25">
      <c r="A164" s="19" t="s">
        <v>8616</v>
      </c>
      <c r="B164" s="17" t="s">
        <v>8615</v>
      </c>
      <c r="C164" s="20">
        <v>1</v>
      </c>
      <c r="D164" s="18">
        <v>89</v>
      </c>
      <c r="E164" s="20">
        <v>10762374</v>
      </c>
      <c r="F164" s="17" t="s">
        <v>28</v>
      </c>
      <c r="G164" s="19" t="s">
        <v>880</v>
      </c>
      <c r="H164" s="18">
        <v>17.8</v>
      </c>
      <c r="I164" s="17" t="s">
        <v>358</v>
      </c>
      <c r="J164" s="17" t="s">
        <v>554</v>
      </c>
      <c r="K164" s="17"/>
      <c r="L164" s="17"/>
      <c r="M164" s="16" t="str">
        <f>HYPERLINK("http://slimages.macys.com/is/image/MCY/16878403 ")</f>
        <v xml:space="preserve">http://slimages.macys.com/is/image/MCY/16878403 </v>
      </c>
      <c r="N164" s="30"/>
    </row>
    <row r="165" spans="1:14" ht="60" x14ac:dyDescent="0.25">
      <c r="A165" s="19" t="s">
        <v>8614</v>
      </c>
      <c r="B165" s="17" t="s">
        <v>8613</v>
      </c>
      <c r="C165" s="20">
        <v>1</v>
      </c>
      <c r="D165" s="18">
        <v>89</v>
      </c>
      <c r="E165" s="20">
        <v>10787894</v>
      </c>
      <c r="F165" s="17" t="s">
        <v>18</v>
      </c>
      <c r="G165" s="19" t="s">
        <v>1191</v>
      </c>
      <c r="H165" s="18">
        <v>17.8</v>
      </c>
      <c r="I165" s="17" t="s">
        <v>358</v>
      </c>
      <c r="J165" s="17" t="s">
        <v>554</v>
      </c>
      <c r="K165" s="17"/>
      <c r="L165" s="17"/>
      <c r="M165" s="16" t="str">
        <f>HYPERLINK("http://slimages.macys.com/is/image/MCY/17662178 ")</f>
        <v xml:space="preserve">http://slimages.macys.com/is/image/MCY/17662178 </v>
      </c>
      <c r="N165" s="30"/>
    </row>
    <row r="166" spans="1:14" ht="60" x14ac:dyDescent="0.25">
      <c r="A166" s="19" t="s">
        <v>8612</v>
      </c>
      <c r="B166" s="17" t="s">
        <v>8611</v>
      </c>
      <c r="C166" s="20">
        <v>1</v>
      </c>
      <c r="D166" s="18">
        <v>89</v>
      </c>
      <c r="E166" s="20" t="s">
        <v>8610</v>
      </c>
      <c r="F166" s="17" t="s">
        <v>91</v>
      </c>
      <c r="G166" s="19" t="s">
        <v>749</v>
      </c>
      <c r="H166" s="18">
        <v>17.8</v>
      </c>
      <c r="I166" s="17" t="s">
        <v>144</v>
      </c>
      <c r="J166" s="17" t="s">
        <v>496</v>
      </c>
      <c r="K166" s="17"/>
      <c r="L166" s="17"/>
      <c r="M166" s="16" t="str">
        <f>HYPERLINK("http://slimages.macys.com/is/image/MCY/18849612 ")</f>
        <v xml:space="preserve">http://slimages.macys.com/is/image/MCY/18849612 </v>
      </c>
      <c r="N166" s="30"/>
    </row>
    <row r="167" spans="1:14" ht="60" x14ac:dyDescent="0.25">
      <c r="A167" s="19" t="s">
        <v>8609</v>
      </c>
      <c r="B167" s="17" t="s">
        <v>8608</v>
      </c>
      <c r="C167" s="20">
        <v>1</v>
      </c>
      <c r="D167" s="18">
        <v>89</v>
      </c>
      <c r="E167" s="20">
        <v>10797834</v>
      </c>
      <c r="F167" s="17" t="s">
        <v>508</v>
      </c>
      <c r="G167" s="19" t="s">
        <v>1292</v>
      </c>
      <c r="H167" s="18">
        <v>17.8</v>
      </c>
      <c r="I167" s="17" t="s">
        <v>358</v>
      </c>
      <c r="J167" s="17" t="s">
        <v>554</v>
      </c>
      <c r="K167" s="17"/>
      <c r="L167" s="17"/>
      <c r="M167" s="16" t="str">
        <f>HYPERLINK("http://slimages.macys.com/is/image/MCY/18520677 ")</f>
        <v xml:space="preserve">http://slimages.macys.com/is/image/MCY/18520677 </v>
      </c>
      <c r="N167" s="30"/>
    </row>
    <row r="168" spans="1:14" ht="60" x14ac:dyDescent="0.25">
      <c r="A168" s="19" t="s">
        <v>8607</v>
      </c>
      <c r="B168" s="17" t="s">
        <v>8606</v>
      </c>
      <c r="C168" s="20">
        <v>1</v>
      </c>
      <c r="D168" s="18">
        <v>89</v>
      </c>
      <c r="E168" s="20">
        <v>10762374</v>
      </c>
      <c r="F168" s="17" t="s">
        <v>28</v>
      </c>
      <c r="G168" s="19" t="s">
        <v>916</v>
      </c>
      <c r="H168" s="18">
        <v>17.8</v>
      </c>
      <c r="I168" s="17" t="s">
        <v>358</v>
      </c>
      <c r="J168" s="17" t="s">
        <v>554</v>
      </c>
      <c r="K168" s="17"/>
      <c r="L168" s="17"/>
      <c r="M168" s="16" t="str">
        <f>HYPERLINK("http://slimages.macys.com/is/image/MCY/16878403 ")</f>
        <v xml:space="preserve">http://slimages.macys.com/is/image/MCY/16878403 </v>
      </c>
      <c r="N168" s="30"/>
    </row>
    <row r="169" spans="1:14" ht="60" x14ac:dyDescent="0.25">
      <c r="A169" s="19" t="s">
        <v>8605</v>
      </c>
      <c r="B169" s="17" t="s">
        <v>8604</v>
      </c>
      <c r="C169" s="20">
        <v>1</v>
      </c>
      <c r="D169" s="18">
        <v>80</v>
      </c>
      <c r="E169" s="20" t="s">
        <v>8603</v>
      </c>
      <c r="F169" s="17" t="s">
        <v>508</v>
      </c>
      <c r="G169" s="19" t="s">
        <v>74</v>
      </c>
      <c r="H169" s="18">
        <v>17.600000000000001</v>
      </c>
      <c r="I169" s="17" t="s">
        <v>158</v>
      </c>
      <c r="J169" s="17" t="s">
        <v>3005</v>
      </c>
      <c r="K169" s="17" t="s">
        <v>637</v>
      </c>
      <c r="L169" s="17" t="s">
        <v>1724</v>
      </c>
      <c r="M169" s="16" t="str">
        <f>HYPERLINK("http://images.bloomingdales.com/is/image/BLM/11285300 ")</f>
        <v xml:space="preserve">http://images.bloomingdales.com/is/image/BLM/11285300 </v>
      </c>
      <c r="N169" s="30"/>
    </row>
    <row r="170" spans="1:14" ht="60" x14ac:dyDescent="0.25">
      <c r="A170" s="19" t="s">
        <v>8602</v>
      </c>
      <c r="B170" s="17" t="s">
        <v>8601</v>
      </c>
      <c r="C170" s="20">
        <v>1</v>
      </c>
      <c r="D170" s="18">
        <v>79</v>
      </c>
      <c r="E170" s="20" t="s">
        <v>2828</v>
      </c>
      <c r="F170" s="17" t="s">
        <v>282</v>
      </c>
      <c r="G170" s="19" t="s">
        <v>1862</v>
      </c>
      <c r="H170" s="18">
        <v>17.433333333333337</v>
      </c>
      <c r="I170" s="17" t="s">
        <v>49</v>
      </c>
      <c r="J170" s="17" t="s">
        <v>48</v>
      </c>
      <c r="K170" s="17"/>
      <c r="L170" s="17"/>
      <c r="M170" s="16" t="str">
        <f>HYPERLINK("http://slimages.macys.com/is/image/MCY/19192466 ")</f>
        <v xml:space="preserve">http://slimages.macys.com/is/image/MCY/19192466 </v>
      </c>
      <c r="N170" s="30"/>
    </row>
    <row r="171" spans="1:14" ht="60" x14ac:dyDescent="0.25">
      <c r="A171" s="19" t="s">
        <v>8600</v>
      </c>
      <c r="B171" s="17" t="s">
        <v>8599</v>
      </c>
      <c r="C171" s="20">
        <v>1</v>
      </c>
      <c r="D171" s="18">
        <v>79</v>
      </c>
      <c r="E171" s="20" t="s">
        <v>5905</v>
      </c>
      <c r="F171" s="17" t="s">
        <v>91</v>
      </c>
      <c r="G171" s="19" t="s">
        <v>50</v>
      </c>
      <c r="H171" s="18">
        <v>17.433333333333337</v>
      </c>
      <c r="I171" s="17" t="s">
        <v>49</v>
      </c>
      <c r="J171" s="17" t="s">
        <v>48</v>
      </c>
      <c r="K171" s="17"/>
      <c r="L171" s="17"/>
      <c r="M171" s="16" t="str">
        <f>HYPERLINK("http://slimages.macys.com/is/image/MCY/19445383 ")</f>
        <v xml:space="preserve">http://slimages.macys.com/is/image/MCY/19445383 </v>
      </c>
      <c r="N171" s="30"/>
    </row>
    <row r="172" spans="1:14" ht="60" x14ac:dyDescent="0.25">
      <c r="A172" s="19" t="s">
        <v>8598</v>
      </c>
      <c r="B172" s="17" t="s">
        <v>8597</v>
      </c>
      <c r="C172" s="20">
        <v>1</v>
      </c>
      <c r="D172" s="18">
        <v>79</v>
      </c>
      <c r="E172" s="20" t="s">
        <v>5905</v>
      </c>
      <c r="F172" s="17" t="s">
        <v>23</v>
      </c>
      <c r="G172" s="19" t="s">
        <v>62</v>
      </c>
      <c r="H172" s="18">
        <v>17.433333333333337</v>
      </c>
      <c r="I172" s="17" t="s">
        <v>49</v>
      </c>
      <c r="J172" s="17" t="s">
        <v>48</v>
      </c>
      <c r="K172" s="17"/>
      <c r="L172" s="17"/>
      <c r="M172" s="16" t="str">
        <f>HYPERLINK("http://slimages.macys.com/is/image/MCY/19445383 ")</f>
        <v xml:space="preserve">http://slimages.macys.com/is/image/MCY/19445383 </v>
      </c>
      <c r="N172" s="30"/>
    </row>
    <row r="173" spans="1:14" ht="60" x14ac:dyDescent="0.25">
      <c r="A173" s="19" t="s">
        <v>8596</v>
      </c>
      <c r="B173" s="17" t="s">
        <v>8595</v>
      </c>
      <c r="C173" s="20">
        <v>1</v>
      </c>
      <c r="D173" s="18">
        <v>74</v>
      </c>
      <c r="E173" s="20">
        <v>7020073</v>
      </c>
      <c r="F173" s="17" t="s">
        <v>63</v>
      </c>
      <c r="G173" s="19" t="s">
        <v>22</v>
      </c>
      <c r="H173" s="18">
        <v>17.266666666666666</v>
      </c>
      <c r="I173" s="17" t="s">
        <v>111</v>
      </c>
      <c r="J173" s="17" t="s">
        <v>110</v>
      </c>
      <c r="K173" s="17"/>
      <c r="L173" s="17"/>
      <c r="M173" s="16" t="str">
        <f>HYPERLINK("http://slimages.macys.com/is/image/MCY/16684481 ")</f>
        <v xml:space="preserve">http://slimages.macys.com/is/image/MCY/16684481 </v>
      </c>
      <c r="N173" s="30"/>
    </row>
    <row r="174" spans="1:14" ht="60" x14ac:dyDescent="0.25">
      <c r="A174" s="19" t="s">
        <v>6693</v>
      </c>
      <c r="B174" s="17" t="s">
        <v>6692</v>
      </c>
      <c r="C174" s="20">
        <v>1</v>
      </c>
      <c r="D174" s="18">
        <v>89.5</v>
      </c>
      <c r="E174" s="20" t="s">
        <v>5889</v>
      </c>
      <c r="F174" s="17" t="s">
        <v>263</v>
      </c>
      <c r="G174" s="19" t="s">
        <v>351</v>
      </c>
      <c r="H174" s="18">
        <v>16.853333333333335</v>
      </c>
      <c r="I174" s="17" t="s">
        <v>1891</v>
      </c>
      <c r="J174" s="17" t="s">
        <v>67</v>
      </c>
      <c r="K174" s="17"/>
      <c r="L174" s="17"/>
      <c r="M174" s="16" t="str">
        <f>HYPERLINK("http://slimages.macys.com/is/image/MCY/18733681 ")</f>
        <v xml:space="preserve">http://slimages.macys.com/is/image/MCY/18733681 </v>
      </c>
      <c r="N174" s="30"/>
    </row>
    <row r="175" spans="1:14" ht="60" x14ac:dyDescent="0.25">
      <c r="A175" s="19" t="s">
        <v>8594</v>
      </c>
      <c r="B175" s="17" t="s">
        <v>8593</v>
      </c>
      <c r="C175" s="20">
        <v>1</v>
      </c>
      <c r="D175" s="18">
        <v>69</v>
      </c>
      <c r="E175" s="20" t="s">
        <v>8592</v>
      </c>
      <c r="F175" s="17" t="s">
        <v>51</v>
      </c>
      <c r="G175" s="19" t="s">
        <v>698</v>
      </c>
      <c r="H175" s="18">
        <v>16.853333333333335</v>
      </c>
      <c r="I175" s="17" t="s">
        <v>1363</v>
      </c>
      <c r="J175" s="17" t="s">
        <v>1362</v>
      </c>
      <c r="K175" s="17"/>
      <c r="L175" s="17"/>
      <c r="M175" s="16" t="str">
        <f>HYPERLINK("http://slimages.macys.com/is/image/MCY/17058769 ")</f>
        <v xml:space="preserve">http://slimages.macys.com/is/image/MCY/17058769 </v>
      </c>
      <c r="N175" s="30"/>
    </row>
    <row r="176" spans="1:14" ht="60" x14ac:dyDescent="0.25">
      <c r="A176" s="19" t="s">
        <v>5891</v>
      </c>
      <c r="B176" s="17" t="s">
        <v>5890</v>
      </c>
      <c r="C176" s="20">
        <v>2</v>
      </c>
      <c r="D176" s="18">
        <v>89.5</v>
      </c>
      <c r="E176" s="20" t="s">
        <v>5889</v>
      </c>
      <c r="F176" s="17" t="s">
        <v>263</v>
      </c>
      <c r="G176" s="19" t="s">
        <v>271</v>
      </c>
      <c r="H176" s="18">
        <v>16.853333333333335</v>
      </c>
      <c r="I176" s="17" t="s">
        <v>1891</v>
      </c>
      <c r="J176" s="17" t="s">
        <v>67</v>
      </c>
      <c r="K176" s="17"/>
      <c r="L176" s="17"/>
      <c r="M176" s="16" t="str">
        <f>HYPERLINK("http://slimages.macys.com/is/image/MCY/18733681 ")</f>
        <v xml:space="preserve">http://slimages.macys.com/is/image/MCY/18733681 </v>
      </c>
      <c r="N176" s="30"/>
    </row>
    <row r="177" spans="1:14" ht="60" x14ac:dyDescent="0.25">
      <c r="A177" s="19" t="s">
        <v>8591</v>
      </c>
      <c r="B177" s="17" t="s">
        <v>8590</v>
      </c>
      <c r="C177" s="20">
        <v>1</v>
      </c>
      <c r="D177" s="18">
        <v>79</v>
      </c>
      <c r="E177" s="20">
        <v>7020016</v>
      </c>
      <c r="F177" s="17" t="s">
        <v>91</v>
      </c>
      <c r="G177" s="19" t="s">
        <v>62</v>
      </c>
      <c r="H177" s="18">
        <v>16.853333333333335</v>
      </c>
      <c r="I177" s="17" t="s">
        <v>111</v>
      </c>
      <c r="J177" s="17" t="s">
        <v>110</v>
      </c>
      <c r="K177" s="17" t="s">
        <v>389</v>
      </c>
      <c r="L177" s="17" t="s">
        <v>662</v>
      </c>
      <c r="M177" s="16" t="str">
        <f>HYPERLINK("http://slimages.macys.com/is/image/MCY/16385828 ")</f>
        <v xml:space="preserve">http://slimages.macys.com/is/image/MCY/16385828 </v>
      </c>
      <c r="N177" s="30"/>
    </row>
    <row r="178" spans="1:14" ht="60" x14ac:dyDescent="0.25">
      <c r="A178" s="19" t="s">
        <v>3825</v>
      </c>
      <c r="B178" s="17" t="s">
        <v>3824</v>
      </c>
      <c r="C178" s="20">
        <v>1</v>
      </c>
      <c r="D178" s="18">
        <v>66.75</v>
      </c>
      <c r="E178" s="20">
        <v>10543036</v>
      </c>
      <c r="F178" s="17" t="s">
        <v>508</v>
      </c>
      <c r="G178" s="19" t="s">
        <v>1292</v>
      </c>
      <c r="H178" s="18">
        <v>16.82</v>
      </c>
      <c r="I178" s="17" t="s">
        <v>358</v>
      </c>
      <c r="J178" s="17" t="s">
        <v>143</v>
      </c>
      <c r="K178" s="17" t="s">
        <v>389</v>
      </c>
      <c r="L178" s="17" t="s">
        <v>662</v>
      </c>
      <c r="M178" s="16" t="str">
        <f>HYPERLINK("http://slimages.macys.com/is/image/MCY/9441485 ")</f>
        <v xml:space="preserve">http://slimages.macys.com/is/image/MCY/9441485 </v>
      </c>
      <c r="N178" s="30"/>
    </row>
    <row r="179" spans="1:14" ht="60" x14ac:dyDescent="0.25">
      <c r="A179" s="19" t="s">
        <v>8589</v>
      </c>
      <c r="B179" s="17" t="s">
        <v>8588</v>
      </c>
      <c r="C179" s="20">
        <v>1</v>
      </c>
      <c r="D179" s="18">
        <v>66.75</v>
      </c>
      <c r="E179" s="20">
        <v>10688320</v>
      </c>
      <c r="F179" s="17" t="s">
        <v>51</v>
      </c>
      <c r="G179" s="19" t="s">
        <v>1191</v>
      </c>
      <c r="H179" s="18">
        <v>16.82</v>
      </c>
      <c r="I179" s="17" t="s">
        <v>358</v>
      </c>
      <c r="J179" s="17" t="s">
        <v>143</v>
      </c>
      <c r="K179" s="17" t="s">
        <v>389</v>
      </c>
      <c r="L179" s="17" t="s">
        <v>662</v>
      </c>
      <c r="M179" s="16" t="str">
        <f>HYPERLINK("http://slimages.macys.com/is/image/MCY/9936885 ")</f>
        <v xml:space="preserve">http://slimages.macys.com/is/image/MCY/9936885 </v>
      </c>
      <c r="N179" s="30"/>
    </row>
    <row r="180" spans="1:14" ht="60" x14ac:dyDescent="0.25">
      <c r="A180" s="19" t="s">
        <v>1258</v>
      </c>
      <c r="B180" s="17" t="s">
        <v>1257</v>
      </c>
      <c r="C180" s="20">
        <v>1</v>
      </c>
      <c r="D180" s="18">
        <v>66.75</v>
      </c>
      <c r="E180" s="20">
        <v>10543036</v>
      </c>
      <c r="F180" s="17" t="s">
        <v>508</v>
      </c>
      <c r="G180" s="19" t="s">
        <v>880</v>
      </c>
      <c r="H180" s="18">
        <v>16.82</v>
      </c>
      <c r="I180" s="17" t="s">
        <v>358</v>
      </c>
      <c r="J180" s="17" t="s">
        <v>143</v>
      </c>
      <c r="K180" s="17" t="s">
        <v>389</v>
      </c>
      <c r="L180" s="17" t="s">
        <v>662</v>
      </c>
      <c r="M180" s="16" t="str">
        <f>HYPERLINK("http://slimages.macys.com/is/image/MCY/9441485 ")</f>
        <v xml:space="preserve">http://slimages.macys.com/is/image/MCY/9441485 </v>
      </c>
      <c r="N180" s="30"/>
    </row>
    <row r="181" spans="1:14" ht="60" x14ac:dyDescent="0.25">
      <c r="A181" s="19" t="s">
        <v>8587</v>
      </c>
      <c r="B181" s="17" t="s">
        <v>8586</v>
      </c>
      <c r="C181" s="20">
        <v>1</v>
      </c>
      <c r="D181" s="18">
        <v>74.25</v>
      </c>
      <c r="E181" s="20">
        <v>10771398</v>
      </c>
      <c r="F181" s="17" t="s">
        <v>51</v>
      </c>
      <c r="G181" s="19" t="s">
        <v>916</v>
      </c>
      <c r="H181" s="18">
        <v>16.82</v>
      </c>
      <c r="I181" s="17" t="s">
        <v>358</v>
      </c>
      <c r="J181" s="17" t="s">
        <v>143</v>
      </c>
      <c r="K181" s="17"/>
      <c r="L181" s="17"/>
      <c r="M181" s="16" t="str">
        <f>HYPERLINK("http://slimages.macys.com/is/image/MCY/19096623 ")</f>
        <v xml:space="preserve">http://slimages.macys.com/is/image/MCY/19096623 </v>
      </c>
      <c r="N181" s="30"/>
    </row>
    <row r="182" spans="1:14" ht="60" x14ac:dyDescent="0.25">
      <c r="A182" s="19" t="s">
        <v>8585</v>
      </c>
      <c r="B182" s="17" t="s">
        <v>8584</v>
      </c>
      <c r="C182" s="20">
        <v>1</v>
      </c>
      <c r="D182" s="18">
        <v>66.75</v>
      </c>
      <c r="E182" s="20" t="s">
        <v>5138</v>
      </c>
      <c r="F182" s="17" t="s">
        <v>28</v>
      </c>
      <c r="G182" s="19" t="s">
        <v>669</v>
      </c>
      <c r="H182" s="18">
        <v>16.793333333333337</v>
      </c>
      <c r="I182" s="17" t="s">
        <v>33</v>
      </c>
      <c r="J182" s="17" t="s">
        <v>32</v>
      </c>
      <c r="K182" s="17"/>
      <c r="L182" s="17"/>
      <c r="M182" s="16" t="str">
        <f>HYPERLINK("http://slimages.macys.com/is/image/MCY/18991510 ")</f>
        <v xml:space="preserve">http://slimages.macys.com/is/image/MCY/18991510 </v>
      </c>
      <c r="N182" s="30"/>
    </row>
    <row r="183" spans="1:14" ht="60" x14ac:dyDescent="0.25">
      <c r="A183" s="19" t="s">
        <v>5140</v>
      </c>
      <c r="B183" s="17" t="s">
        <v>5139</v>
      </c>
      <c r="C183" s="20">
        <v>1</v>
      </c>
      <c r="D183" s="18">
        <v>66.75</v>
      </c>
      <c r="E183" s="20" t="s">
        <v>5138</v>
      </c>
      <c r="F183" s="17" t="s">
        <v>28</v>
      </c>
      <c r="G183" s="19" t="s">
        <v>874</v>
      </c>
      <c r="H183" s="18">
        <v>16.793333333333337</v>
      </c>
      <c r="I183" s="17" t="s">
        <v>33</v>
      </c>
      <c r="J183" s="17" t="s">
        <v>32</v>
      </c>
      <c r="K183" s="17"/>
      <c r="L183" s="17"/>
      <c r="M183" s="16" t="str">
        <f>HYPERLINK("http://slimages.macys.com/is/image/MCY/18991510 ")</f>
        <v xml:space="preserve">http://slimages.macys.com/is/image/MCY/18991510 </v>
      </c>
      <c r="N183" s="30"/>
    </row>
    <row r="184" spans="1:14" ht="60" x14ac:dyDescent="0.25">
      <c r="A184" s="19" t="s">
        <v>8583</v>
      </c>
      <c r="B184" s="17" t="s">
        <v>8582</v>
      </c>
      <c r="C184" s="20">
        <v>1</v>
      </c>
      <c r="D184" s="18">
        <v>66.75</v>
      </c>
      <c r="E184" s="20" t="s">
        <v>8581</v>
      </c>
      <c r="F184" s="17" t="s">
        <v>51</v>
      </c>
      <c r="G184" s="19"/>
      <c r="H184" s="18">
        <v>16.793333333333337</v>
      </c>
      <c r="I184" s="17" t="s">
        <v>358</v>
      </c>
      <c r="J184" s="17" t="s">
        <v>32</v>
      </c>
      <c r="K184" s="17" t="s">
        <v>389</v>
      </c>
      <c r="L184" s="17" t="s">
        <v>388</v>
      </c>
      <c r="M184" s="16" t="str">
        <f>HYPERLINK("http://slimages.macys.com/is/image/MCY/11714640 ")</f>
        <v xml:space="preserve">http://slimages.macys.com/is/image/MCY/11714640 </v>
      </c>
      <c r="N184" s="30"/>
    </row>
    <row r="185" spans="1:14" ht="60" x14ac:dyDescent="0.25">
      <c r="A185" s="19" t="s">
        <v>8580</v>
      </c>
      <c r="B185" s="17" t="s">
        <v>8579</v>
      </c>
      <c r="C185" s="20">
        <v>1</v>
      </c>
      <c r="D185" s="18">
        <v>66.75</v>
      </c>
      <c r="E185" s="20" t="s">
        <v>5138</v>
      </c>
      <c r="F185" s="17" t="s">
        <v>28</v>
      </c>
      <c r="G185" s="19" t="s">
        <v>1968</v>
      </c>
      <c r="H185" s="18">
        <v>16.793333333333337</v>
      </c>
      <c r="I185" s="17" t="s">
        <v>33</v>
      </c>
      <c r="J185" s="17" t="s">
        <v>32</v>
      </c>
      <c r="K185" s="17"/>
      <c r="L185" s="17"/>
      <c r="M185" s="16" t="str">
        <f>HYPERLINK("http://slimages.macys.com/is/image/MCY/18991510 ")</f>
        <v xml:space="preserve">http://slimages.macys.com/is/image/MCY/18991510 </v>
      </c>
      <c r="N185" s="30"/>
    </row>
    <row r="186" spans="1:14" ht="60" x14ac:dyDescent="0.25">
      <c r="A186" s="19" t="s">
        <v>8578</v>
      </c>
      <c r="B186" s="17" t="s">
        <v>8577</v>
      </c>
      <c r="C186" s="20">
        <v>1</v>
      </c>
      <c r="D186" s="18">
        <v>66.75</v>
      </c>
      <c r="E186" s="20" t="s">
        <v>5138</v>
      </c>
      <c r="F186" s="17" t="s">
        <v>28</v>
      </c>
      <c r="G186" s="19" t="s">
        <v>738</v>
      </c>
      <c r="H186" s="18">
        <v>16.793333333333337</v>
      </c>
      <c r="I186" s="17" t="s">
        <v>33</v>
      </c>
      <c r="J186" s="17" t="s">
        <v>32</v>
      </c>
      <c r="K186" s="17"/>
      <c r="L186" s="17"/>
      <c r="M186" s="16" t="str">
        <f>HYPERLINK("http://slimages.macys.com/is/image/MCY/18991510 ")</f>
        <v xml:space="preserve">http://slimages.macys.com/is/image/MCY/18991510 </v>
      </c>
      <c r="N186" s="30"/>
    </row>
    <row r="187" spans="1:14" ht="60" x14ac:dyDescent="0.25">
      <c r="A187" s="19" t="s">
        <v>8576</v>
      </c>
      <c r="B187" s="17" t="s">
        <v>8575</v>
      </c>
      <c r="C187" s="20">
        <v>1</v>
      </c>
      <c r="D187" s="18">
        <v>66.75</v>
      </c>
      <c r="E187" s="20" t="s">
        <v>5138</v>
      </c>
      <c r="F187" s="17" t="s">
        <v>28</v>
      </c>
      <c r="G187" s="19" t="s">
        <v>4021</v>
      </c>
      <c r="H187" s="18">
        <v>16.793333333333337</v>
      </c>
      <c r="I187" s="17" t="s">
        <v>33</v>
      </c>
      <c r="J187" s="17" t="s">
        <v>32</v>
      </c>
      <c r="K187" s="17"/>
      <c r="L187" s="17"/>
      <c r="M187" s="16" t="str">
        <f>HYPERLINK("http://slimages.macys.com/is/image/MCY/18991510 ")</f>
        <v xml:space="preserve">http://slimages.macys.com/is/image/MCY/18991510 </v>
      </c>
      <c r="N187" s="30"/>
    </row>
    <row r="188" spans="1:14" ht="60" x14ac:dyDescent="0.25">
      <c r="A188" s="19" t="s">
        <v>8574</v>
      </c>
      <c r="B188" s="17" t="s">
        <v>8573</v>
      </c>
      <c r="C188" s="20">
        <v>1</v>
      </c>
      <c r="D188" s="18">
        <v>89</v>
      </c>
      <c r="E188" s="20" t="s">
        <v>8572</v>
      </c>
      <c r="F188" s="17" t="s">
        <v>575</v>
      </c>
      <c r="G188" s="19" t="s">
        <v>749</v>
      </c>
      <c r="H188" s="18">
        <v>16.64</v>
      </c>
      <c r="I188" s="17" t="s">
        <v>820</v>
      </c>
      <c r="J188" s="17" t="s">
        <v>67</v>
      </c>
      <c r="K188" s="17"/>
      <c r="L188" s="17"/>
      <c r="M188" s="16" t="str">
        <f>HYPERLINK("http://slimages.macys.com/is/image/MCY/18850411 ")</f>
        <v xml:space="preserve">http://slimages.macys.com/is/image/MCY/18850411 </v>
      </c>
      <c r="N188" s="30"/>
    </row>
    <row r="189" spans="1:14" ht="60" x14ac:dyDescent="0.25">
      <c r="A189" s="19" t="s">
        <v>8571</v>
      </c>
      <c r="B189" s="17" t="s">
        <v>8570</v>
      </c>
      <c r="C189" s="20">
        <v>1</v>
      </c>
      <c r="D189" s="18">
        <v>59.25</v>
      </c>
      <c r="E189" s="20">
        <v>10772949</v>
      </c>
      <c r="F189" s="17" t="s">
        <v>28</v>
      </c>
      <c r="G189" s="19" t="s">
        <v>738</v>
      </c>
      <c r="H189" s="18">
        <v>16.593333333333334</v>
      </c>
      <c r="I189" s="17" t="s">
        <v>33</v>
      </c>
      <c r="J189" s="17" t="s">
        <v>143</v>
      </c>
      <c r="K189" s="17"/>
      <c r="L189" s="17"/>
      <c r="M189" s="16" t="str">
        <f>HYPERLINK("http://slimages.macys.com/is/image/MCY/19095613 ")</f>
        <v xml:space="preserve">http://slimages.macys.com/is/image/MCY/19095613 </v>
      </c>
      <c r="N189" s="30"/>
    </row>
    <row r="190" spans="1:14" ht="60" x14ac:dyDescent="0.25">
      <c r="A190" s="19" t="s">
        <v>1253</v>
      </c>
      <c r="B190" s="17" t="s">
        <v>1252</v>
      </c>
      <c r="C190" s="20">
        <v>1</v>
      </c>
      <c r="D190" s="18">
        <v>59.25</v>
      </c>
      <c r="E190" s="20">
        <v>10778234</v>
      </c>
      <c r="F190" s="17" t="s">
        <v>63</v>
      </c>
      <c r="G190" s="19" t="s">
        <v>880</v>
      </c>
      <c r="H190" s="18">
        <v>16.593333333333334</v>
      </c>
      <c r="I190" s="17" t="s">
        <v>358</v>
      </c>
      <c r="J190" s="17" t="s">
        <v>143</v>
      </c>
      <c r="K190" s="17"/>
      <c r="L190" s="17"/>
      <c r="M190" s="16" t="str">
        <f>HYPERLINK("http://slimages.macys.com/is/image/MCY/17749900 ")</f>
        <v xml:space="preserve">http://slimages.macys.com/is/image/MCY/17749900 </v>
      </c>
      <c r="N190" s="30"/>
    </row>
    <row r="191" spans="1:14" ht="60" x14ac:dyDescent="0.25">
      <c r="A191" s="19" t="s">
        <v>8569</v>
      </c>
      <c r="B191" s="17" t="s">
        <v>8568</v>
      </c>
      <c r="C191" s="20">
        <v>1</v>
      </c>
      <c r="D191" s="18">
        <v>99</v>
      </c>
      <c r="E191" s="20">
        <v>10773134</v>
      </c>
      <c r="F191" s="17" t="s">
        <v>575</v>
      </c>
      <c r="G191" s="19" t="s">
        <v>271</v>
      </c>
      <c r="H191" s="18">
        <v>16.5</v>
      </c>
      <c r="I191" s="17" t="s">
        <v>1307</v>
      </c>
      <c r="J191" s="17" t="s">
        <v>1306</v>
      </c>
      <c r="K191" s="17"/>
      <c r="L191" s="17"/>
      <c r="M191" s="16" t="str">
        <f>HYPERLINK("http://slimages.macys.com/is/image/MCY/18973268 ")</f>
        <v xml:space="preserve">http://slimages.macys.com/is/image/MCY/18973268 </v>
      </c>
      <c r="N191" s="30"/>
    </row>
    <row r="192" spans="1:14" ht="60" x14ac:dyDescent="0.25">
      <c r="A192" s="19" t="s">
        <v>8567</v>
      </c>
      <c r="B192" s="17" t="s">
        <v>8566</v>
      </c>
      <c r="C192" s="20">
        <v>1</v>
      </c>
      <c r="D192" s="18">
        <v>99</v>
      </c>
      <c r="E192" s="20">
        <v>60552299</v>
      </c>
      <c r="F192" s="17" t="s">
        <v>575</v>
      </c>
      <c r="G192" s="19" t="s">
        <v>271</v>
      </c>
      <c r="H192" s="18">
        <v>16.5</v>
      </c>
      <c r="I192" s="17" t="s">
        <v>1307</v>
      </c>
      <c r="J192" s="17" t="s">
        <v>1306</v>
      </c>
      <c r="K192" s="17"/>
      <c r="L192" s="17"/>
      <c r="M192" s="16" t="str">
        <f>HYPERLINK("http://slimages.macys.com/is/image/MCY/18973458 ")</f>
        <v xml:space="preserve">http://slimages.macys.com/is/image/MCY/18973458 </v>
      </c>
      <c r="N192" s="30"/>
    </row>
    <row r="193" spans="1:14" ht="60" x14ac:dyDescent="0.25">
      <c r="A193" s="19" t="s">
        <v>8565</v>
      </c>
      <c r="B193" s="17" t="s">
        <v>8564</v>
      </c>
      <c r="C193" s="20">
        <v>1</v>
      </c>
      <c r="D193" s="18">
        <v>99</v>
      </c>
      <c r="E193" s="20" t="s">
        <v>2004</v>
      </c>
      <c r="F193" s="17" t="s">
        <v>23</v>
      </c>
      <c r="G193" s="19" t="s">
        <v>682</v>
      </c>
      <c r="H193" s="18">
        <v>16.5</v>
      </c>
      <c r="I193" s="17" t="s">
        <v>129</v>
      </c>
      <c r="J193" s="17" t="s">
        <v>128</v>
      </c>
      <c r="K193" s="17"/>
      <c r="L193" s="17"/>
      <c r="M193" s="16" t="str">
        <f>HYPERLINK("http://slimages.macys.com/is/image/MCY/19194171 ")</f>
        <v xml:space="preserve">http://slimages.macys.com/is/image/MCY/19194171 </v>
      </c>
      <c r="N193" s="30"/>
    </row>
    <row r="194" spans="1:14" ht="60" x14ac:dyDescent="0.25">
      <c r="A194" s="19" t="s">
        <v>8563</v>
      </c>
      <c r="B194" s="17" t="s">
        <v>8562</v>
      </c>
      <c r="C194" s="20">
        <v>1</v>
      </c>
      <c r="D194" s="18">
        <v>89</v>
      </c>
      <c r="E194" s="20" t="s">
        <v>8559</v>
      </c>
      <c r="F194" s="17" t="s">
        <v>23</v>
      </c>
      <c r="G194" s="19" t="s">
        <v>857</v>
      </c>
      <c r="H194" s="18">
        <v>16.433333333333334</v>
      </c>
      <c r="I194" s="17" t="s">
        <v>405</v>
      </c>
      <c r="J194" s="17" t="s">
        <v>404</v>
      </c>
      <c r="K194" s="17"/>
      <c r="L194" s="17"/>
      <c r="M194" s="16" t="str">
        <f>HYPERLINK("http://slimages.macys.com/is/image/MCY/19217846 ")</f>
        <v xml:space="preserve">http://slimages.macys.com/is/image/MCY/19217846 </v>
      </c>
      <c r="N194" s="30"/>
    </row>
    <row r="195" spans="1:14" ht="60" x14ac:dyDescent="0.25">
      <c r="A195" s="19" t="s">
        <v>8561</v>
      </c>
      <c r="B195" s="17" t="s">
        <v>8560</v>
      </c>
      <c r="C195" s="20">
        <v>1</v>
      </c>
      <c r="D195" s="18">
        <v>89</v>
      </c>
      <c r="E195" s="20" t="s">
        <v>8559</v>
      </c>
      <c r="F195" s="17" t="s">
        <v>23</v>
      </c>
      <c r="G195" s="19" t="s">
        <v>116</v>
      </c>
      <c r="H195" s="18">
        <v>16.433333333333334</v>
      </c>
      <c r="I195" s="17" t="s">
        <v>405</v>
      </c>
      <c r="J195" s="17" t="s">
        <v>404</v>
      </c>
      <c r="K195" s="17"/>
      <c r="L195" s="17"/>
      <c r="M195" s="16" t="str">
        <f>HYPERLINK("http://slimages.macys.com/is/image/MCY/19217846 ")</f>
        <v xml:space="preserve">http://slimages.macys.com/is/image/MCY/19217846 </v>
      </c>
      <c r="N195" s="30"/>
    </row>
    <row r="196" spans="1:14" ht="60" x14ac:dyDescent="0.25">
      <c r="A196" s="19" t="s">
        <v>8558</v>
      </c>
      <c r="B196" s="17" t="s">
        <v>8557</v>
      </c>
      <c r="C196" s="20">
        <v>1</v>
      </c>
      <c r="D196" s="18">
        <v>79</v>
      </c>
      <c r="E196" s="20">
        <v>10771472</v>
      </c>
      <c r="F196" s="17" t="s">
        <v>28</v>
      </c>
      <c r="G196" s="19" t="s">
        <v>62</v>
      </c>
      <c r="H196" s="18">
        <v>16.326666666666668</v>
      </c>
      <c r="I196" s="17" t="s">
        <v>144</v>
      </c>
      <c r="J196" s="17" t="s">
        <v>143</v>
      </c>
      <c r="K196" s="17"/>
      <c r="L196" s="17"/>
      <c r="M196" s="16" t="str">
        <f>HYPERLINK("http://slimages.macys.com/is/image/MCY/18601107 ")</f>
        <v xml:space="preserve">http://slimages.macys.com/is/image/MCY/18601107 </v>
      </c>
      <c r="N196" s="30"/>
    </row>
    <row r="197" spans="1:14" ht="60" x14ac:dyDescent="0.25">
      <c r="A197" s="19" t="s">
        <v>8556</v>
      </c>
      <c r="B197" s="17" t="s">
        <v>8555</v>
      </c>
      <c r="C197" s="20">
        <v>1</v>
      </c>
      <c r="D197" s="18">
        <v>79</v>
      </c>
      <c r="E197" s="20">
        <v>10764564</v>
      </c>
      <c r="F197" s="17" t="s">
        <v>726</v>
      </c>
      <c r="G197" s="19" t="s">
        <v>749</v>
      </c>
      <c r="H197" s="18">
        <v>16.326666666666668</v>
      </c>
      <c r="I197" s="17" t="s">
        <v>144</v>
      </c>
      <c r="J197" s="17" t="s">
        <v>143</v>
      </c>
      <c r="K197" s="17"/>
      <c r="L197" s="17"/>
      <c r="M197" s="16" t="str">
        <f>HYPERLINK("http://slimages.macys.com/is/image/MCY/16540000 ")</f>
        <v xml:space="preserve">http://slimages.macys.com/is/image/MCY/16540000 </v>
      </c>
      <c r="N197" s="30"/>
    </row>
    <row r="198" spans="1:14" ht="60" x14ac:dyDescent="0.25">
      <c r="A198" s="19" t="s">
        <v>8554</v>
      </c>
      <c r="B198" s="17" t="s">
        <v>8553</v>
      </c>
      <c r="C198" s="20">
        <v>1</v>
      </c>
      <c r="D198" s="18">
        <v>79</v>
      </c>
      <c r="E198" s="20">
        <v>10765192</v>
      </c>
      <c r="F198" s="17" t="s">
        <v>359</v>
      </c>
      <c r="G198" s="19" t="s">
        <v>69</v>
      </c>
      <c r="H198" s="18">
        <v>16.326666666666668</v>
      </c>
      <c r="I198" s="17" t="s">
        <v>144</v>
      </c>
      <c r="J198" s="17" t="s">
        <v>143</v>
      </c>
      <c r="K198" s="17"/>
      <c r="L198" s="17"/>
      <c r="M198" s="16" t="str">
        <f>HYPERLINK("http://slimages.macys.com/is/image/MCY/18814279 ")</f>
        <v xml:space="preserve">http://slimages.macys.com/is/image/MCY/18814279 </v>
      </c>
      <c r="N198" s="30"/>
    </row>
    <row r="199" spans="1:14" ht="60" x14ac:dyDescent="0.25">
      <c r="A199" s="19" t="s">
        <v>8552</v>
      </c>
      <c r="B199" s="17" t="s">
        <v>8551</v>
      </c>
      <c r="C199" s="20">
        <v>1</v>
      </c>
      <c r="D199" s="18">
        <v>79</v>
      </c>
      <c r="E199" s="20">
        <v>10802272</v>
      </c>
      <c r="F199" s="17" t="s">
        <v>23</v>
      </c>
      <c r="G199" s="19" t="s">
        <v>197</v>
      </c>
      <c r="H199" s="18">
        <v>16.326666666666668</v>
      </c>
      <c r="I199" s="17" t="s">
        <v>144</v>
      </c>
      <c r="J199" s="17" t="s">
        <v>143</v>
      </c>
      <c r="K199" s="17"/>
      <c r="L199" s="17"/>
      <c r="M199" s="16" t="str">
        <f>HYPERLINK("http://slimages.macys.com/is/image/MCY/19096106 ")</f>
        <v xml:space="preserve">http://slimages.macys.com/is/image/MCY/19096106 </v>
      </c>
      <c r="N199" s="30"/>
    </row>
    <row r="200" spans="1:14" ht="60" x14ac:dyDescent="0.25">
      <c r="A200" s="19" t="s">
        <v>8550</v>
      </c>
      <c r="B200" s="17" t="s">
        <v>8549</v>
      </c>
      <c r="C200" s="20">
        <v>1</v>
      </c>
      <c r="D200" s="18">
        <v>79</v>
      </c>
      <c r="E200" s="20">
        <v>10802272</v>
      </c>
      <c r="F200" s="17" t="s">
        <v>23</v>
      </c>
      <c r="G200" s="19" t="s">
        <v>62</v>
      </c>
      <c r="H200" s="18">
        <v>16.326666666666668</v>
      </c>
      <c r="I200" s="17" t="s">
        <v>144</v>
      </c>
      <c r="J200" s="17" t="s">
        <v>143</v>
      </c>
      <c r="K200" s="17"/>
      <c r="L200" s="17"/>
      <c r="M200" s="16" t="str">
        <f>HYPERLINK("http://slimages.macys.com/is/image/MCY/19096106 ")</f>
        <v xml:space="preserve">http://slimages.macys.com/is/image/MCY/19096106 </v>
      </c>
      <c r="N200" s="30"/>
    </row>
    <row r="201" spans="1:14" ht="60" x14ac:dyDescent="0.25">
      <c r="A201" s="19" t="s">
        <v>3788</v>
      </c>
      <c r="B201" s="17" t="s">
        <v>3787</v>
      </c>
      <c r="C201" s="20">
        <v>1</v>
      </c>
      <c r="D201" s="18">
        <v>79</v>
      </c>
      <c r="E201" s="20">
        <v>10802272</v>
      </c>
      <c r="F201" s="17" t="s">
        <v>23</v>
      </c>
      <c r="G201" s="19" t="s">
        <v>69</v>
      </c>
      <c r="H201" s="18">
        <v>16.326666666666668</v>
      </c>
      <c r="I201" s="17" t="s">
        <v>144</v>
      </c>
      <c r="J201" s="17" t="s">
        <v>143</v>
      </c>
      <c r="K201" s="17"/>
      <c r="L201" s="17"/>
      <c r="M201" s="16" t="str">
        <f>HYPERLINK("http://slimages.macys.com/is/image/MCY/19096106 ")</f>
        <v xml:space="preserve">http://slimages.macys.com/is/image/MCY/19096106 </v>
      </c>
      <c r="N201" s="30"/>
    </row>
    <row r="202" spans="1:14" ht="60" x14ac:dyDescent="0.25">
      <c r="A202" s="19" t="s">
        <v>8548</v>
      </c>
      <c r="B202" s="17" t="s">
        <v>8547</v>
      </c>
      <c r="C202" s="20">
        <v>1</v>
      </c>
      <c r="D202" s="18">
        <v>89</v>
      </c>
      <c r="E202" s="20">
        <v>10735320</v>
      </c>
      <c r="F202" s="17" t="s">
        <v>51</v>
      </c>
      <c r="G202" s="19" t="s">
        <v>69</v>
      </c>
      <c r="H202" s="18">
        <v>16.32</v>
      </c>
      <c r="I202" s="17" t="s">
        <v>120</v>
      </c>
      <c r="J202" s="17" t="s">
        <v>119</v>
      </c>
      <c r="K202" s="17" t="s">
        <v>389</v>
      </c>
      <c r="L202" s="17" t="s">
        <v>8546</v>
      </c>
      <c r="M202" s="16" t="str">
        <f>HYPERLINK("http://slimages.macys.com/is/image/MCY/14376475 ")</f>
        <v xml:space="preserve">http://slimages.macys.com/is/image/MCY/14376475 </v>
      </c>
      <c r="N202" s="30"/>
    </row>
    <row r="203" spans="1:14" ht="60" x14ac:dyDescent="0.25">
      <c r="A203" s="19" t="s">
        <v>7516</v>
      </c>
      <c r="B203" s="17" t="s">
        <v>7515</v>
      </c>
      <c r="C203" s="20">
        <v>1</v>
      </c>
      <c r="D203" s="18">
        <v>79.5</v>
      </c>
      <c r="E203" s="20" t="s">
        <v>5864</v>
      </c>
      <c r="F203" s="17" t="s">
        <v>23</v>
      </c>
      <c r="G203" s="19" t="s">
        <v>749</v>
      </c>
      <c r="H203" s="18">
        <v>16.013333333333335</v>
      </c>
      <c r="I203" s="17" t="s">
        <v>106</v>
      </c>
      <c r="J203" s="17" t="s">
        <v>105</v>
      </c>
      <c r="K203" s="17"/>
      <c r="L203" s="17"/>
      <c r="M203" s="16" t="str">
        <f>HYPERLINK("http://slimages.macys.com/is/image/MCY/18482747 ")</f>
        <v xml:space="preserve">http://slimages.macys.com/is/image/MCY/18482747 </v>
      </c>
      <c r="N203" s="30"/>
    </row>
    <row r="204" spans="1:14" ht="60" x14ac:dyDescent="0.25">
      <c r="A204" s="19" t="s">
        <v>8545</v>
      </c>
      <c r="B204" s="17" t="s">
        <v>8544</v>
      </c>
      <c r="C204" s="20">
        <v>2</v>
      </c>
      <c r="D204" s="18">
        <v>79.5</v>
      </c>
      <c r="E204" s="20" t="s">
        <v>5864</v>
      </c>
      <c r="F204" s="17" t="s">
        <v>23</v>
      </c>
      <c r="G204" s="19" t="s">
        <v>658</v>
      </c>
      <c r="H204" s="18">
        <v>16.013333333333335</v>
      </c>
      <c r="I204" s="17" t="s">
        <v>106</v>
      </c>
      <c r="J204" s="17" t="s">
        <v>105</v>
      </c>
      <c r="K204" s="17"/>
      <c r="L204" s="17"/>
      <c r="M204" s="16" t="str">
        <f>HYPERLINK("http://slimages.macys.com/is/image/MCY/18482747 ")</f>
        <v xml:space="preserve">http://slimages.macys.com/is/image/MCY/18482747 </v>
      </c>
      <c r="N204" s="30"/>
    </row>
    <row r="205" spans="1:14" ht="60" x14ac:dyDescent="0.25">
      <c r="A205" s="19" t="s">
        <v>8543</v>
      </c>
      <c r="B205" s="17" t="s">
        <v>8542</v>
      </c>
      <c r="C205" s="20">
        <v>1</v>
      </c>
      <c r="D205" s="18">
        <v>79.5</v>
      </c>
      <c r="E205" s="20" t="s">
        <v>8541</v>
      </c>
      <c r="F205" s="17" t="s">
        <v>51</v>
      </c>
      <c r="G205" s="19" t="s">
        <v>898</v>
      </c>
      <c r="H205" s="18">
        <v>16.013333333333335</v>
      </c>
      <c r="I205" s="17" t="s">
        <v>106</v>
      </c>
      <c r="J205" s="17" t="s">
        <v>105</v>
      </c>
      <c r="K205" s="17"/>
      <c r="L205" s="17"/>
      <c r="M205" s="16" t="str">
        <f>HYPERLINK("http://slimages.macys.com/is/image/MCY/18476300 ")</f>
        <v xml:space="preserve">http://slimages.macys.com/is/image/MCY/18476300 </v>
      </c>
      <c r="N205" s="30"/>
    </row>
    <row r="206" spans="1:14" ht="60" x14ac:dyDescent="0.25">
      <c r="A206" s="19" t="s">
        <v>8540</v>
      </c>
      <c r="B206" s="17" t="s">
        <v>8539</v>
      </c>
      <c r="C206" s="20">
        <v>1</v>
      </c>
      <c r="D206" s="18">
        <v>79.5</v>
      </c>
      <c r="E206" s="20" t="s">
        <v>8538</v>
      </c>
      <c r="F206" s="17" t="s">
        <v>558</v>
      </c>
      <c r="G206" s="19" t="s">
        <v>57</v>
      </c>
      <c r="H206" s="18">
        <v>16.013333333333335</v>
      </c>
      <c r="I206" s="17" t="s">
        <v>106</v>
      </c>
      <c r="J206" s="17" t="s">
        <v>105</v>
      </c>
      <c r="K206" s="17"/>
      <c r="L206" s="17"/>
      <c r="M206" s="16" t="str">
        <f>HYPERLINK("http://slimages.macys.com/is/image/MCY/19381797 ")</f>
        <v xml:space="preserve">http://slimages.macys.com/is/image/MCY/19381797 </v>
      </c>
      <c r="N206" s="30"/>
    </row>
    <row r="207" spans="1:14" ht="60" x14ac:dyDescent="0.25">
      <c r="A207" s="19" t="s">
        <v>8537</v>
      </c>
      <c r="B207" s="17" t="s">
        <v>8536</v>
      </c>
      <c r="C207" s="20">
        <v>2</v>
      </c>
      <c r="D207" s="18">
        <v>79.5</v>
      </c>
      <c r="E207" s="20" t="s">
        <v>5864</v>
      </c>
      <c r="F207" s="17" t="s">
        <v>514</v>
      </c>
      <c r="G207" s="19" t="s">
        <v>96</v>
      </c>
      <c r="H207" s="18">
        <v>16.013333333333335</v>
      </c>
      <c r="I207" s="17" t="s">
        <v>106</v>
      </c>
      <c r="J207" s="17" t="s">
        <v>105</v>
      </c>
      <c r="K207" s="17"/>
      <c r="L207" s="17"/>
      <c r="M207" s="16" t="str">
        <f>HYPERLINK("http://slimages.macys.com/is/image/MCY/18482747 ")</f>
        <v xml:space="preserve">http://slimages.macys.com/is/image/MCY/18482747 </v>
      </c>
      <c r="N207" s="30"/>
    </row>
    <row r="208" spans="1:14" ht="60" x14ac:dyDescent="0.25">
      <c r="A208" s="19" t="s">
        <v>8535</v>
      </c>
      <c r="B208" s="17" t="s">
        <v>8534</v>
      </c>
      <c r="C208" s="20">
        <v>1</v>
      </c>
      <c r="D208" s="18">
        <v>79.5</v>
      </c>
      <c r="E208" s="20" t="s">
        <v>2802</v>
      </c>
      <c r="F208" s="17" t="s">
        <v>23</v>
      </c>
      <c r="G208" s="19" t="s">
        <v>197</v>
      </c>
      <c r="H208" s="18">
        <v>16.013333333333335</v>
      </c>
      <c r="I208" s="17" t="s">
        <v>106</v>
      </c>
      <c r="J208" s="17" t="s">
        <v>105</v>
      </c>
      <c r="K208" s="17"/>
      <c r="L208" s="17"/>
      <c r="M208" s="16" t="str">
        <f>HYPERLINK("http://slimages.macys.com/is/image/MCY/19027051 ")</f>
        <v xml:space="preserve">http://slimages.macys.com/is/image/MCY/19027051 </v>
      </c>
      <c r="N208" s="30"/>
    </row>
    <row r="209" spans="1:14" ht="60" x14ac:dyDescent="0.25">
      <c r="A209" s="19" t="s">
        <v>8533</v>
      </c>
      <c r="B209" s="17" t="s">
        <v>8532</v>
      </c>
      <c r="C209" s="20">
        <v>1</v>
      </c>
      <c r="D209" s="18">
        <v>79.5</v>
      </c>
      <c r="E209" s="20" t="s">
        <v>8531</v>
      </c>
      <c r="F209" s="17" t="s">
        <v>28</v>
      </c>
      <c r="G209" s="19" t="s">
        <v>197</v>
      </c>
      <c r="H209" s="18">
        <v>15.666666666666668</v>
      </c>
      <c r="I209" s="17" t="s">
        <v>68</v>
      </c>
      <c r="J209" s="17" t="s">
        <v>67</v>
      </c>
      <c r="K209" s="17"/>
      <c r="L209" s="17"/>
      <c r="M209" s="16" t="str">
        <f>HYPERLINK("http://slimages.macys.com/is/image/MCY/18390724 ")</f>
        <v xml:space="preserve">http://slimages.macys.com/is/image/MCY/18390724 </v>
      </c>
      <c r="N209" s="30"/>
    </row>
    <row r="210" spans="1:14" ht="60" x14ac:dyDescent="0.25">
      <c r="A210" s="19" t="s">
        <v>8530</v>
      </c>
      <c r="B210" s="17" t="s">
        <v>8529</v>
      </c>
      <c r="C210" s="20">
        <v>1</v>
      </c>
      <c r="D210" s="18">
        <v>79</v>
      </c>
      <c r="E210" s="20" t="s">
        <v>1986</v>
      </c>
      <c r="F210" s="17" t="s">
        <v>216</v>
      </c>
      <c r="G210" s="19" t="s">
        <v>880</v>
      </c>
      <c r="H210" s="18">
        <v>15.666666666666668</v>
      </c>
      <c r="I210" s="17" t="s">
        <v>550</v>
      </c>
      <c r="J210" s="17" t="s">
        <v>1448</v>
      </c>
      <c r="K210" s="17"/>
      <c r="L210" s="17"/>
      <c r="M210" s="16" t="str">
        <f>HYPERLINK("http://slimages.macys.com/is/image/MCY/18272380 ")</f>
        <v xml:space="preserve">http://slimages.macys.com/is/image/MCY/18272380 </v>
      </c>
      <c r="N210" s="30"/>
    </row>
    <row r="211" spans="1:14" ht="60" x14ac:dyDescent="0.25">
      <c r="A211" s="19" t="s">
        <v>8528</v>
      </c>
      <c r="B211" s="17" t="s">
        <v>8527</v>
      </c>
      <c r="C211" s="20">
        <v>1</v>
      </c>
      <c r="D211" s="18">
        <v>69</v>
      </c>
      <c r="E211" s="20" t="s">
        <v>4498</v>
      </c>
      <c r="F211" s="17" t="s">
        <v>3876</v>
      </c>
      <c r="G211" s="19"/>
      <c r="H211" s="18">
        <v>15.226666666666667</v>
      </c>
      <c r="I211" s="17" t="s">
        <v>49</v>
      </c>
      <c r="J211" s="17" t="s">
        <v>48</v>
      </c>
      <c r="K211" s="17"/>
      <c r="L211" s="17"/>
      <c r="M211" s="16" t="str">
        <f>HYPERLINK("http://slimages.macys.com/is/image/MCY/18783918 ")</f>
        <v xml:space="preserve">http://slimages.macys.com/is/image/MCY/18783918 </v>
      </c>
      <c r="N211" s="30"/>
    </row>
    <row r="212" spans="1:14" ht="60" x14ac:dyDescent="0.25">
      <c r="A212" s="19" t="s">
        <v>8526</v>
      </c>
      <c r="B212" s="17" t="s">
        <v>8525</v>
      </c>
      <c r="C212" s="20">
        <v>1</v>
      </c>
      <c r="D212" s="18">
        <v>89.5</v>
      </c>
      <c r="E212" s="20" t="s">
        <v>8524</v>
      </c>
      <c r="F212" s="17" t="s">
        <v>23</v>
      </c>
      <c r="G212" s="19" t="s">
        <v>74</v>
      </c>
      <c r="H212" s="18">
        <v>15.2</v>
      </c>
      <c r="I212" s="17" t="s">
        <v>68</v>
      </c>
      <c r="J212" s="17" t="s">
        <v>67</v>
      </c>
      <c r="K212" s="17"/>
      <c r="L212" s="17"/>
      <c r="M212" s="16" t="str">
        <f>HYPERLINK("http://slimages.macys.com/is/image/MCY/18560956 ")</f>
        <v xml:space="preserve">http://slimages.macys.com/is/image/MCY/18560956 </v>
      </c>
      <c r="N212" s="30"/>
    </row>
    <row r="213" spans="1:14" ht="60" x14ac:dyDescent="0.25">
      <c r="A213" s="19" t="s">
        <v>8523</v>
      </c>
      <c r="B213" s="17" t="s">
        <v>8522</v>
      </c>
      <c r="C213" s="20">
        <v>1</v>
      </c>
      <c r="D213" s="18">
        <v>79.5</v>
      </c>
      <c r="E213" s="20" t="s">
        <v>1218</v>
      </c>
      <c r="F213" s="17" t="s">
        <v>216</v>
      </c>
      <c r="G213" s="19" t="s">
        <v>682</v>
      </c>
      <c r="H213" s="18">
        <v>14.973333333333334</v>
      </c>
      <c r="I213" s="17" t="s">
        <v>68</v>
      </c>
      <c r="J213" s="17" t="s">
        <v>67</v>
      </c>
      <c r="K213" s="17"/>
      <c r="L213" s="17"/>
      <c r="M213" s="16" t="str">
        <f>HYPERLINK("http://slimages.macys.com/is/image/MCY/18071860 ")</f>
        <v xml:space="preserve">http://slimages.macys.com/is/image/MCY/18071860 </v>
      </c>
      <c r="N213" s="30"/>
    </row>
    <row r="214" spans="1:14" ht="60" x14ac:dyDescent="0.25">
      <c r="A214" s="19" t="s">
        <v>8521</v>
      </c>
      <c r="B214" s="17" t="s">
        <v>8520</v>
      </c>
      <c r="C214" s="20">
        <v>1</v>
      </c>
      <c r="D214" s="18">
        <v>79.5</v>
      </c>
      <c r="E214" s="20" t="s">
        <v>8519</v>
      </c>
      <c r="F214" s="17" t="s">
        <v>28</v>
      </c>
      <c r="G214" s="19" t="s">
        <v>62</v>
      </c>
      <c r="H214" s="18">
        <v>14.973333333333334</v>
      </c>
      <c r="I214" s="17" t="s">
        <v>68</v>
      </c>
      <c r="J214" s="17" t="s">
        <v>67</v>
      </c>
      <c r="K214" s="17"/>
      <c r="L214" s="17"/>
      <c r="M214" s="16" t="str">
        <f>HYPERLINK("http://slimages.macys.com/is/image/MCY/18534833 ")</f>
        <v xml:space="preserve">http://slimages.macys.com/is/image/MCY/18534833 </v>
      </c>
      <c r="N214" s="30"/>
    </row>
    <row r="215" spans="1:14" ht="60" x14ac:dyDescent="0.25">
      <c r="A215" s="19" t="s">
        <v>8518</v>
      </c>
      <c r="B215" s="17" t="s">
        <v>8517</v>
      </c>
      <c r="C215" s="20">
        <v>1</v>
      </c>
      <c r="D215" s="18">
        <v>79.5</v>
      </c>
      <c r="E215" s="20" t="s">
        <v>8516</v>
      </c>
      <c r="F215" s="17" t="s">
        <v>58</v>
      </c>
      <c r="G215" s="19" t="s">
        <v>69</v>
      </c>
      <c r="H215" s="18">
        <v>14.973333333333334</v>
      </c>
      <c r="I215" s="17" t="s">
        <v>68</v>
      </c>
      <c r="J215" s="17" t="s">
        <v>67</v>
      </c>
      <c r="K215" s="17"/>
      <c r="L215" s="17"/>
      <c r="M215" s="16" t="str">
        <f>HYPERLINK("http://slimages.macys.com/is/image/MCY/18390745 ")</f>
        <v xml:space="preserve">http://slimages.macys.com/is/image/MCY/18390745 </v>
      </c>
      <c r="N215" s="30"/>
    </row>
    <row r="216" spans="1:14" ht="60" x14ac:dyDescent="0.25">
      <c r="A216" s="19" t="s">
        <v>8515</v>
      </c>
      <c r="B216" s="17" t="s">
        <v>8514</v>
      </c>
      <c r="C216" s="20">
        <v>1</v>
      </c>
      <c r="D216" s="18">
        <v>59.25</v>
      </c>
      <c r="E216" s="20">
        <v>10763862</v>
      </c>
      <c r="F216" s="17" t="s">
        <v>23</v>
      </c>
      <c r="G216" s="19" t="s">
        <v>1445</v>
      </c>
      <c r="H216" s="18">
        <v>14.933333333333335</v>
      </c>
      <c r="I216" s="17" t="s">
        <v>358</v>
      </c>
      <c r="J216" s="17" t="s">
        <v>143</v>
      </c>
      <c r="K216" s="17"/>
      <c r="L216" s="17"/>
      <c r="M216" s="16" t="str">
        <f>HYPERLINK("http://slimages.macys.com/is/image/MCY/18301551 ")</f>
        <v xml:space="preserve">http://slimages.macys.com/is/image/MCY/18301551 </v>
      </c>
      <c r="N216" s="30"/>
    </row>
    <row r="217" spans="1:14" ht="60" x14ac:dyDescent="0.25">
      <c r="A217" s="19" t="s">
        <v>8513</v>
      </c>
      <c r="B217" s="17" t="s">
        <v>8512</v>
      </c>
      <c r="C217" s="20">
        <v>1</v>
      </c>
      <c r="D217" s="18">
        <v>59.25</v>
      </c>
      <c r="E217" s="20">
        <v>10763862</v>
      </c>
      <c r="F217" s="17" t="s">
        <v>23</v>
      </c>
      <c r="G217" s="19" t="s">
        <v>1191</v>
      </c>
      <c r="H217" s="18">
        <v>14.933333333333335</v>
      </c>
      <c r="I217" s="17" t="s">
        <v>358</v>
      </c>
      <c r="J217" s="17" t="s">
        <v>143</v>
      </c>
      <c r="K217" s="17"/>
      <c r="L217" s="17"/>
      <c r="M217" s="16" t="str">
        <f>HYPERLINK("http://slimages.macys.com/is/image/MCY/18301551 ")</f>
        <v xml:space="preserve">http://slimages.macys.com/is/image/MCY/18301551 </v>
      </c>
      <c r="N217" s="30"/>
    </row>
    <row r="218" spans="1:14" ht="60" x14ac:dyDescent="0.25">
      <c r="A218" s="19" t="s">
        <v>8511</v>
      </c>
      <c r="B218" s="17" t="s">
        <v>8510</v>
      </c>
      <c r="C218" s="20">
        <v>1</v>
      </c>
      <c r="D218" s="18">
        <v>59.25</v>
      </c>
      <c r="E218" s="20">
        <v>10763862</v>
      </c>
      <c r="F218" s="17" t="s">
        <v>23</v>
      </c>
      <c r="G218" s="19" t="s">
        <v>916</v>
      </c>
      <c r="H218" s="18">
        <v>14.933333333333335</v>
      </c>
      <c r="I218" s="17" t="s">
        <v>358</v>
      </c>
      <c r="J218" s="17" t="s">
        <v>143</v>
      </c>
      <c r="K218" s="17"/>
      <c r="L218" s="17"/>
      <c r="M218" s="16" t="str">
        <f>HYPERLINK("http://slimages.macys.com/is/image/MCY/18301551 ")</f>
        <v xml:space="preserve">http://slimages.macys.com/is/image/MCY/18301551 </v>
      </c>
      <c r="N218" s="30"/>
    </row>
    <row r="219" spans="1:14" ht="60" x14ac:dyDescent="0.25">
      <c r="A219" s="19" t="s">
        <v>1960</v>
      </c>
      <c r="B219" s="17" t="s">
        <v>1959</v>
      </c>
      <c r="C219" s="20">
        <v>1</v>
      </c>
      <c r="D219" s="18">
        <v>60</v>
      </c>
      <c r="E219" s="20" t="s">
        <v>1958</v>
      </c>
      <c r="F219" s="17" t="s">
        <v>51</v>
      </c>
      <c r="G219" s="19" t="s">
        <v>27</v>
      </c>
      <c r="H219" s="18">
        <v>14.92</v>
      </c>
      <c r="I219" s="17" t="s">
        <v>16</v>
      </c>
      <c r="J219" s="17" t="s">
        <v>15</v>
      </c>
      <c r="K219" s="17"/>
      <c r="L219" s="17"/>
      <c r="M219" s="16" t="str">
        <f>HYPERLINK("http://slimages.macys.com/is/image/MCY/19546761 ")</f>
        <v xml:space="preserve">http://slimages.macys.com/is/image/MCY/19546761 </v>
      </c>
      <c r="N219" s="30"/>
    </row>
    <row r="220" spans="1:14" ht="60" x14ac:dyDescent="0.25">
      <c r="A220" s="19" t="s">
        <v>8509</v>
      </c>
      <c r="B220" s="17" t="s">
        <v>8508</v>
      </c>
      <c r="C220" s="20">
        <v>1</v>
      </c>
      <c r="D220" s="18">
        <v>79.5</v>
      </c>
      <c r="E220" s="20">
        <v>30100534</v>
      </c>
      <c r="F220" s="17" t="s">
        <v>514</v>
      </c>
      <c r="G220" s="19" t="s">
        <v>74</v>
      </c>
      <c r="H220" s="18">
        <v>14.84</v>
      </c>
      <c r="I220" s="17" t="s">
        <v>80</v>
      </c>
      <c r="J220" s="17" t="s">
        <v>513</v>
      </c>
      <c r="K220" s="17"/>
      <c r="L220" s="17"/>
      <c r="M220" s="16" t="str">
        <f>HYPERLINK("http://slimages.macys.com/is/image/MCY/19258578 ")</f>
        <v xml:space="preserve">http://slimages.macys.com/is/image/MCY/19258578 </v>
      </c>
      <c r="N220" s="30"/>
    </row>
    <row r="221" spans="1:14" ht="60" x14ac:dyDescent="0.25">
      <c r="A221" s="19" t="s">
        <v>2769</v>
      </c>
      <c r="B221" s="17" t="s">
        <v>2768</v>
      </c>
      <c r="C221" s="20">
        <v>1</v>
      </c>
      <c r="D221" s="18">
        <v>89</v>
      </c>
      <c r="E221" s="20">
        <v>7020309</v>
      </c>
      <c r="F221" s="17" t="s">
        <v>91</v>
      </c>
      <c r="G221" s="19" t="s">
        <v>682</v>
      </c>
      <c r="H221" s="18">
        <v>14.833333333333334</v>
      </c>
      <c r="I221" s="17" t="s">
        <v>111</v>
      </c>
      <c r="J221" s="17" t="s">
        <v>110</v>
      </c>
      <c r="K221" s="17"/>
      <c r="L221" s="17"/>
      <c r="M221" s="16" t="str">
        <f>HYPERLINK("http://slimages.macys.com/is/image/MCY/16687760 ")</f>
        <v xml:space="preserve">http://slimages.macys.com/is/image/MCY/16687760 </v>
      </c>
      <c r="N221" s="30"/>
    </row>
    <row r="222" spans="1:14" ht="60" x14ac:dyDescent="0.25">
      <c r="A222" s="19" t="s">
        <v>8507</v>
      </c>
      <c r="B222" s="17" t="s">
        <v>8506</v>
      </c>
      <c r="C222" s="20">
        <v>1</v>
      </c>
      <c r="D222" s="18">
        <v>89</v>
      </c>
      <c r="E222" s="20">
        <v>8159956</v>
      </c>
      <c r="F222" s="17" t="s">
        <v>931</v>
      </c>
      <c r="G222" s="19" t="s">
        <v>17</v>
      </c>
      <c r="H222" s="18">
        <v>14.833333333333334</v>
      </c>
      <c r="I222" s="17" t="s">
        <v>129</v>
      </c>
      <c r="J222" s="17" t="s">
        <v>128</v>
      </c>
      <c r="K222" s="17"/>
      <c r="L222" s="17"/>
      <c r="M222" s="16" t="str">
        <f>HYPERLINK("http://slimages.macys.com/is/image/MCY/18608495 ")</f>
        <v xml:space="preserve">http://slimages.macys.com/is/image/MCY/18608495 </v>
      </c>
      <c r="N222" s="30"/>
    </row>
    <row r="223" spans="1:14" ht="60" x14ac:dyDescent="0.25">
      <c r="A223" s="19" t="s">
        <v>8505</v>
      </c>
      <c r="B223" s="17" t="s">
        <v>8504</v>
      </c>
      <c r="C223" s="20">
        <v>1</v>
      </c>
      <c r="D223" s="18">
        <v>89</v>
      </c>
      <c r="E223" s="20" t="s">
        <v>8503</v>
      </c>
      <c r="F223" s="17" t="s">
        <v>51</v>
      </c>
      <c r="G223" s="19" t="s">
        <v>658</v>
      </c>
      <c r="H223" s="18">
        <v>14.833333333333334</v>
      </c>
      <c r="I223" s="17" t="s">
        <v>678</v>
      </c>
      <c r="J223" s="17" t="s">
        <v>404</v>
      </c>
      <c r="K223" s="17"/>
      <c r="L223" s="17"/>
      <c r="M223" s="16" t="str">
        <f>HYPERLINK("http://slimages.macys.com/is/image/MCY/19377483 ")</f>
        <v xml:space="preserve">http://slimages.macys.com/is/image/MCY/19377483 </v>
      </c>
      <c r="N223" s="30"/>
    </row>
    <row r="224" spans="1:14" ht="60" x14ac:dyDescent="0.25">
      <c r="A224" s="19" t="s">
        <v>8502</v>
      </c>
      <c r="B224" s="17" t="s">
        <v>8501</v>
      </c>
      <c r="C224" s="20">
        <v>1</v>
      </c>
      <c r="D224" s="18">
        <v>89</v>
      </c>
      <c r="E224" s="20">
        <v>7021708</v>
      </c>
      <c r="F224" s="17" t="s">
        <v>282</v>
      </c>
      <c r="G224" s="19" t="s">
        <v>50</v>
      </c>
      <c r="H224" s="18">
        <v>14.833333333333334</v>
      </c>
      <c r="I224" s="17" t="s">
        <v>111</v>
      </c>
      <c r="J224" s="17" t="s">
        <v>110</v>
      </c>
      <c r="K224" s="17"/>
      <c r="L224" s="17"/>
      <c r="M224" s="16" t="str">
        <f>HYPERLINK("http://slimages.macys.com/is/image/MCY/18738987 ")</f>
        <v xml:space="preserve">http://slimages.macys.com/is/image/MCY/18738987 </v>
      </c>
      <c r="N224" s="30"/>
    </row>
    <row r="225" spans="1:14" ht="60" x14ac:dyDescent="0.25">
      <c r="A225" s="19" t="s">
        <v>8500</v>
      </c>
      <c r="B225" s="17" t="s">
        <v>8499</v>
      </c>
      <c r="C225" s="20">
        <v>1</v>
      </c>
      <c r="D225" s="18">
        <v>89</v>
      </c>
      <c r="E225" s="20">
        <v>7021020</v>
      </c>
      <c r="F225" s="17" t="s">
        <v>508</v>
      </c>
      <c r="G225" s="19" t="s">
        <v>101</v>
      </c>
      <c r="H225" s="18">
        <v>14.833333333333334</v>
      </c>
      <c r="I225" s="17" t="s">
        <v>111</v>
      </c>
      <c r="J225" s="17" t="s">
        <v>110</v>
      </c>
      <c r="K225" s="17"/>
      <c r="L225" s="17"/>
      <c r="M225" s="16" t="str">
        <f>HYPERLINK("http://slimages.macys.com/is/image/MCY/18738734 ")</f>
        <v xml:space="preserve">http://slimages.macys.com/is/image/MCY/18738734 </v>
      </c>
      <c r="N225" s="30"/>
    </row>
    <row r="226" spans="1:14" ht="60" x14ac:dyDescent="0.25">
      <c r="A226" s="19" t="s">
        <v>8498</v>
      </c>
      <c r="B226" s="17" t="s">
        <v>8497</v>
      </c>
      <c r="C226" s="20">
        <v>1</v>
      </c>
      <c r="D226" s="18">
        <v>89</v>
      </c>
      <c r="E226" s="20">
        <v>7021716</v>
      </c>
      <c r="F226" s="17" t="s">
        <v>58</v>
      </c>
      <c r="G226" s="19" t="s">
        <v>22</v>
      </c>
      <c r="H226" s="18">
        <v>14.833333333333334</v>
      </c>
      <c r="I226" s="17" t="s">
        <v>111</v>
      </c>
      <c r="J226" s="17" t="s">
        <v>110</v>
      </c>
      <c r="K226" s="17"/>
      <c r="L226" s="17"/>
      <c r="M226" s="16" t="str">
        <f>HYPERLINK("http://slimages.macys.com/is/image/MCY/18653258 ")</f>
        <v xml:space="preserve">http://slimages.macys.com/is/image/MCY/18653258 </v>
      </c>
      <c r="N226" s="30"/>
    </row>
    <row r="227" spans="1:14" ht="60" x14ac:dyDescent="0.25">
      <c r="A227" s="19" t="s">
        <v>8496</v>
      </c>
      <c r="B227" s="17" t="s">
        <v>8495</v>
      </c>
      <c r="C227" s="20">
        <v>1</v>
      </c>
      <c r="D227" s="18">
        <v>69.5</v>
      </c>
      <c r="E227" s="20" t="s">
        <v>3723</v>
      </c>
      <c r="F227" s="17" t="s">
        <v>51</v>
      </c>
      <c r="G227" s="19" t="s">
        <v>74</v>
      </c>
      <c r="H227" s="18">
        <v>14.833333333333334</v>
      </c>
      <c r="I227" s="17" t="s">
        <v>80</v>
      </c>
      <c r="J227" s="17" t="s">
        <v>531</v>
      </c>
      <c r="K227" s="17"/>
      <c r="L227" s="17"/>
      <c r="M227" s="16" t="str">
        <f>HYPERLINK("http://slimages.macys.com/is/image/MCY/18890759 ")</f>
        <v xml:space="preserve">http://slimages.macys.com/is/image/MCY/18890759 </v>
      </c>
      <c r="N227" s="30"/>
    </row>
    <row r="228" spans="1:14" ht="60" x14ac:dyDescent="0.25">
      <c r="A228" s="19" t="s">
        <v>8494</v>
      </c>
      <c r="B228" s="17" t="s">
        <v>8493</v>
      </c>
      <c r="C228" s="20">
        <v>1</v>
      </c>
      <c r="D228" s="18">
        <v>79</v>
      </c>
      <c r="E228" s="20">
        <v>7099049</v>
      </c>
      <c r="F228" s="17" t="s">
        <v>91</v>
      </c>
      <c r="G228" s="19" t="s">
        <v>50</v>
      </c>
      <c r="H228" s="18">
        <v>14.746666666666668</v>
      </c>
      <c r="I228" s="17" t="s">
        <v>111</v>
      </c>
      <c r="J228" s="17" t="s">
        <v>110</v>
      </c>
      <c r="K228" s="17" t="s">
        <v>389</v>
      </c>
      <c r="L228" s="17" t="s">
        <v>1359</v>
      </c>
      <c r="M228" s="16" t="str">
        <f>HYPERLINK("http://slimages.macys.com/is/image/MCY/14466495 ")</f>
        <v xml:space="preserve">http://slimages.macys.com/is/image/MCY/14466495 </v>
      </c>
      <c r="N228" s="30"/>
    </row>
    <row r="229" spans="1:14" ht="60" x14ac:dyDescent="0.25">
      <c r="A229" s="19" t="s">
        <v>8492</v>
      </c>
      <c r="B229" s="17" t="s">
        <v>8491</v>
      </c>
      <c r="C229" s="20">
        <v>1</v>
      </c>
      <c r="D229" s="18">
        <v>79</v>
      </c>
      <c r="E229" s="20">
        <v>7099049</v>
      </c>
      <c r="F229" s="17" t="s">
        <v>91</v>
      </c>
      <c r="G229" s="19" t="s">
        <v>22</v>
      </c>
      <c r="H229" s="18">
        <v>14.746666666666668</v>
      </c>
      <c r="I229" s="17" t="s">
        <v>111</v>
      </c>
      <c r="J229" s="17" t="s">
        <v>110</v>
      </c>
      <c r="K229" s="17" t="s">
        <v>389</v>
      </c>
      <c r="L229" s="17" t="s">
        <v>1359</v>
      </c>
      <c r="M229" s="16" t="str">
        <f>HYPERLINK("http://slimages.macys.com/is/image/MCY/14466495 ")</f>
        <v xml:space="preserve">http://slimages.macys.com/is/image/MCY/14466495 </v>
      </c>
      <c r="N229" s="30"/>
    </row>
    <row r="230" spans="1:14" ht="60" x14ac:dyDescent="0.25">
      <c r="A230" s="19" t="s">
        <v>8490</v>
      </c>
      <c r="B230" s="17" t="s">
        <v>8489</v>
      </c>
      <c r="C230" s="20">
        <v>1</v>
      </c>
      <c r="D230" s="18">
        <v>79</v>
      </c>
      <c r="E230" s="20">
        <v>7099049</v>
      </c>
      <c r="F230" s="17" t="s">
        <v>91</v>
      </c>
      <c r="G230" s="19" t="s">
        <v>62</v>
      </c>
      <c r="H230" s="18">
        <v>14.746666666666668</v>
      </c>
      <c r="I230" s="17" t="s">
        <v>111</v>
      </c>
      <c r="J230" s="17" t="s">
        <v>110</v>
      </c>
      <c r="K230" s="17" t="s">
        <v>389</v>
      </c>
      <c r="L230" s="17" t="s">
        <v>1359</v>
      </c>
      <c r="M230" s="16" t="str">
        <f>HYPERLINK("http://slimages.macys.com/is/image/MCY/14466495 ")</f>
        <v xml:space="preserve">http://slimages.macys.com/is/image/MCY/14466495 </v>
      </c>
      <c r="N230" s="30"/>
    </row>
    <row r="231" spans="1:14" ht="60" x14ac:dyDescent="0.25">
      <c r="A231" s="19" t="s">
        <v>8488</v>
      </c>
      <c r="B231" s="17" t="s">
        <v>8487</v>
      </c>
      <c r="C231" s="20">
        <v>1</v>
      </c>
      <c r="D231" s="18">
        <v>79</v>
      </c>
      <c r="E231" s="20">
        <v>60518770</v>
      </c>
      <c r="F231" s="17" t="s">
        <v>97</v>
      </c>
      <c r="G231" s="19" t="s">
        <v>197</v>
      </c>
      <c r="H231" s="18">
        <v>14.746666666666668</v>
      </c>
      <c r="I231" s="17" t="s">
        <v>144</v>
      </c>
      <c r="J231" s="17" t="s">
        <v>143</v>
      </c>
      <c r="K231" s="17"/>
      <c r="L231" s="17"/>
      <c r="M231" s="16" t="str">
        <f>HYPERLINK("http://slimages.macys.com/is/image/MCY/18210777 ")</f>
        <v xml:space="preserve">http://slimages.macys.com/is/image/MCY/18210777 </v>
      </c>
      <c r="N231" s="30"/>
    </row>
    <row r="232" spans="1:14" ht="60" x14ac:dyDescent="0.25">
      <c r="A232" s="19" t="s">
        <v>8486</v>
      </c>
      <c r="B232" s="17" t="s">
        <v>8485</v>
      </c>
      <c r="C232" s="20">
        <v>1</v>
      </c>
      <c r="D232" s="18">
        <v>79</v>
      </c>
      <c r="E232" s="20">
        <v>7099049</v>
      </c>
      <c r="F232" s="17" t="s">
        <v>91</v>
      </c>
      <c r="G232" s="19" t="s">
        <v>101</v>
      </c>
      <c r="H232" s="18">
        <v>14.746666666666668</v>
      </c>
      <c r="I232" s="17" t="s">
        <v>111</v>
      </c>
      <c r="J232" s="17" t="s">
        <v>110</v>
      </c>
      <c r="K232" s="17" t="s">
        <v>389</v>
      </c>
      <c r="L232" s="17" t="s">
        <v>1359</v>
      </c>
      <c r="M232" s="16" t="str">
        <f>HYPERLINK("http://slimages.macys.com/is/image/MCY/14466495 ")</f>
        <v xml:space="preserve">http://slimages.macys.com/is/image/MCY/14466495 </v>
      </c>
      <c r="N232" s="30"/>
    </row>
    <row r="233" spans="1:14" ht="60" x14ac:dyDescent="0.25">
      <c r="A233" s="19" t="s">
        <v>8484</v>
      </c>
      <c r="B233" s="17" t="s">
        <v>8483</v>
      </c>
      <c r="C233" s="20">
        <v>1</v>
      </c>
      <c r="D233" s="18">
        <v>69</v>
      </c>
      <c r="E233" s="20">
        <v>7030611</v>
      </c>
      <c r="F233" s="17" t="s">
        <v>140</v>
      </c>
      <c r="G233" s="19" t="s">
        <v>62</v>
      </c>
      <c r="H233" s="18">
        <v>14.720000000000002</v>
      </c>
      <c r="I233" s="17" t="s">
        <v>111</v>
      </c>
      <c r="J233" s="17" t="s">
        <v>110</v>
      </c>
      <c r="K233" s="17" t="s">
        <v>637</v>
      </c>
      <c r="L233" s="17" t="s">
        <v>6011</v>
      </c>
      <c r="M233" s="16" t="str">
        <f>HYPERLINK("http://images.bloomingdales.com/is/image/BLM/11484739 ")</f>
        <v xml:space="preserve">http://images.bloomingdales.com/is/image/BLM/11484739 </v>
      </c>
      <c r="N233" s="30"/>
    </row>
    <row r="234" spans="1:14" ht="60" x14ac:dyDescent="0.25">
      <c r="A234" s="19" t="s">
        <v>8482</v>
      </c>
      <c r="B234" s="17" t="s">
        <v>8481</v>
      </c>
      <c r="C234" s="20">
        <v>1</v>
      </c>
      <c r="D234" s="18">
        <v>69</v>
      </c>
      <c r="E234" s="20">
        <v>7099020</v>
      </c>
      <c r="F234" s="17" t="s">
        <v>91</v>
      </c>
      <c r="G234" s="19" t="s">
        <v>22</v>
      </c>
      <c r="H234" s="18">
        <v>14.720000000000002</v>
      </c>
      <c r="I234" s="17" t="s">
        <v>111</v>
      </c>
      <c r="J234" s="17" t="s">
        <v>110</v>
      </c>
      <c r="K234" s="17" t="s">
        <v>389</v>
      </c>
      <c r="L234" s="17" t="s">
        <v>388</v>
      </c>
      <c r="M234" s="16" t="str">
        <f>HYPERLINK("http://slimages.macys.com/is/image/MCY/8933854 ")</f>
        <v xml:space="preserve">http://slimages.macys.com/is/image/MCY/8933854 </v>
      </c>
      <c r="N234" s="30"/>
    </row>
    <row r="235" spans="1:14" ht="60" x14ac:dyDescent="0.25">
      <c r="A235" s="19" t="s">
        <v>8480</v>
      </c>
      <c r="B235" s="17" t="s">
        <v>8479</v>
      </c>
      <c r="C235" s="20">
        <v>1</v>
      </c>
      <c r="D235" s="18">
        <v>99</v>
      </c>
      <c r="E235" s="20">
        <v>2321904</v>
      </c>
      <c r="F235" s="17" t="s">
        <v>75</v>
      </c>
      <c r="G235" s="19" t="s">
        <v>96</v>
      </c>
      <c r="H235" s="18">
        <v>14.666666666666668</v>
      </c>
      <c r="I235" s="17" t="s">
        <v>80</v>
      </c>
      <c r="J235" s="17" t="s">
        <v>293</v>
      </c>
      <c r="K235" s="17"/>
      <c r="L235" s="17"/>
      <c r="M235" s="16" t="str">
        <f>HYPERLINK("http://slimages.macys.com/is/image/MCY/18749371 ")</f>
        <v xml:space="preserve">http://slimages.macys.com/is/image/MCY/18749371 </v>
      </c>
      <c r="N235" s="30"/>
    </row>
    <row r="236" spans="1:14" ht="60" x14ac:dyDescent="0.25">
      <c r="A236" s="19" t="s">
        <v>8478</v>
      </c>
      <c r="B236" s="17" t="s">
        <v>8477</v>
      </c>
      <c r="C236" s="20">
        <v>1</v>
      </c>
      <c r="D236" s="18">
        <v>66.75</v>
      </c>
      <c r="E236" s="20" t="s">
        <v>1196</v>
      </c>
      <c r="F236" s="17" t="s">
        <v>23</v>
      </c>
      <c r="G236" s="19" t="s">
        <v>738</v>
      </c>
      <c r="H236" s="18">
        <v>14.573333333333334</v>
      </c>
      <c r="I236" s="17" t="s">
        <v>33</v>
      </c>
      <c r="J236" s="17" t="s">
        <v>32</v>
      </c>
      <c r="K236" s="17"/>
      <c r="L236" s="17"/>
      <c r="M236" s="16" t="str">
        <f>HYPERLINK("http://slimages.macys.com/is/image/MCY/18991388 ")</f>
        <v xml:space="preserve">http://slimages.macys.com/is/image/MCY/18991388 </v>
      </c>
      <c r="N236" s="30"/>
    </row>
    <row r="237" spans="1:14" ht="60" x14ac:dyDescent="0.25">
      <c r="A237" s="19" t="s">
        <v>8476</v>
      </c>
      <c r="B237" s="17" t="s">
        <v>8475</v>
      </c>
      <c r="C237" s="20">
        <v>1</v>
      </c>
      <c r="D237" s="18">
        <v>79.5</v>
      </c>
      <c r="E237" s="20" t="s">
        <v>8472</v>
      </c>
      <c r="F237" s="17" t="s">
        <v>51</v>
      </c>
      <c r="G237" s="19" t="s">
        <v>351</v>
      </c>
      <c r="H237" s="18">
        <v>14.573333333333334</v>
      </c>
      <c r="I237" s="17" t="s">
        <v>267</v>
      </c>
      <c r="J237" s="17" t="s">
        <v>32</v>
      </c>
      <c r="K237" s="17"/>
      <c r="L237" s="17"/>
      <c r="M237" s="16" t="str">
        <f>HYPERLINK("http://slimages.macys.com/is/image/MCY/18830202 ")</f>
        <v xml:space="preserve">http://slimages.macys.com/is/image/MCY/18830202 </v>
      </c>
      <c r="N237" s="30"/>
    </row>
    <row r="238" spans="1:14" ht="60" x14ac:dyDescent="0.25">
      <c r="A238" s="19" t="s">
        <v>8474</v>
      </c>
      <c r="B238" s="17" t="s">
        <v>8473</v>
      </c>
      <c r="C238" s="20">
        <v>1</v>
      </c>
      <c r="D238" s="18">
        <v>79.5</v>
      </c>
      <c r="E238" s="20" t="s">
        <v>8472</v>
      </c>
      <c r="F238" s="17" t="s">
        <v>164</v>
      </c>
      <c r="G238" s="19" t="s">
        <v>271</v>
      </c>
      <c r="H238" s="18">
        <v>14.573333333333334</v>
      </c>
      <c r="I238" s="17" t="s">
        <v>267</v>
      </c>
      <c r="J238" s="17" t="s">
        <v>32</v>
      </c>
      <c r="K238" s="17"/>
      <c r="L238" s="17"/>
      <c r="M238" s="16" t="str">
        <f>HYPERLINK("http://slimages.macys.com/is/image/MCY/18830202 ")</f>
        <v xml:space="preserve">http://slimages.macys.com/is/image/MCY/18830202 </v>
      </c>
      <c r="N238" s="30"/>
    </row>
    <row r="239" spans="1:14" ht="60" x14ac:dyDescent="0.25">
      <c r="A239" s="19" t="s">
        <v>8471</v>
      </c>
      <c r="B239" s="17" t="s">
        <v>8470</v>
      </c>
      <c r="C239" s="20">
        <v>1</v>
      </c>
      <c r="D239" s="18">
        <v>79.5</v>
      </c>
      <c r="E239" s="20" t="s">
        <v>8467</v>
      </c>
      <c r="F239" s="17" t="s">
        <v>51</v>
      </c>
      <c r="G239" s="19" t="s">
        <v>271</v>
      </c>
      <c r="H239" s="18">
        <v>14.573333333333334</v>
      </c>
      <c r="I239" s="17" t="s">
        <v>267</v>
      </c>
      <c r="J239" s="17" t="s">
        <v>32</v>
      </c>
      <c r="K239" s="17"/>
      <c r="L239" s="17"/>
      <c r="M239" s="16" t="str">
        <f>HYPERLINK("http://slimages.macys.com/is/image/MCY/19267036 ")</f>
        <v xml:space="preserve">http://slimages.macys.com/is/image/MCY/19267036 </v>
      </c>
      <c r="N239" s="30"/>
    </row>
    <row r="240" spans="1:14" ht="60" x14ac:dyDescent="0.25">
      <c r="A240" s="19" t="s">
        <v>8469</v>
      </c>
      <c r="B240" s="17" t="s">
        <v>8468</v>
      </c>
      <c r="C240" s="20">
        <v>1</v>
      </c>
      <c r="D240" s="18">
        <v>79.5</v>
      </c>
      <c r="E240" s="20" t="s">
        <v>8467</v>
      </c>
      <c r="F240" s="17" t="s">
        <v>51</v>
      </c>
      <c r="G240" s="19" t="s">
        <v>351</v>
      </c>
      <c r="H240" s="18">
        <v>14.573333333333334</v>
      </c>
      <c r="I240" s="17" t="s">
        <v>267</v>
      </c>
      <c r="J240" s="17" t="s">
        <v>32</v>
      </c>
      <c r="K240" s="17"/>
      <c r="L240" s="17"/>
      <c r="M240" s="16" t="str">
        <f>HYPERLINK("http://slimages.macys.com/is/image/MCY/19267036 ")</f>
        <v xml:space="preserve">http://slimages.macys.com/is/image/MCY/19267036 </v>
      </c>
      <c r="N240" s="30"/>
    </row>
    <row r="241" spans="1:14" ht="60" x14ac:dyDescent="0.25">
      <c r="A241" s="19" t="s">
        <v>6612</v>
      </c>
      <c r="B241" s="17" t="s">
        <v>6611</v>
      </c>
      <c r="C241" s="20">
        <v>1</v>
      </c>
      <c r="D241" s="18">
        <v>109</v>
      </c>
      <c r="E241" s="20">
        <v>9231704</v>
      </c>
      <c r="F241" s="17" t="s">
        <v>91</v>
      </c>
      <c r="G241" s="19" t="s">
        <v>271</v>
      </c>
      <c r="H241" s="18">
        <v>14.533333333333335</v>
      </c>
      <c r="I241" s="17" t="s">
        <v>138</v>
      </c>
      <c r="J241" s="17" t="s">
        <v>137</v>
      </c>
      <c r="K241" s="17"/>
      <c r="L241" s="17"/>
      <c r="M241" s="16" t="str">
        <f>HYPERLINK("http://slimages.macys.com/is/image/MCY/19196178 ")</f>
        <v xml:space="preserve">http://slimages.macys.com/is/image/MCY/19196178 </v>
      </c>
      <c r="N241" s="30"/>
    </row>
    <row r="242" spans="1:14" ht="60" x14ac:dyDescent="0.25">
      <c r="A242" s="19" t="s">
        <v>6610</v>
      </c>
      <c r="B242" s="17" t="s">
        <v>6609</v>
      </c>
      <c r="C242" s="20">
        <v>1</v>
      </c>
      <c r="D242" s="18">
        <v>51.75</v>
      </c>
      <c r="E242" s="20">
        <v>10762542</v>
      </c>
      <c r="F242" s="17" t="s">
        <v>140</v>
      </c>
      <c r="G242" s="19" t="s">
        <v>351</v>
      </c>
      <c r="H242" s="18">
        <v>14.493333333333334</v>
      </c>
      <c r="I242" s="17" t="s">
        <v>358</v>
      </c>
      <c r="J242" s="17" t="s">
        <v>143</v>
      </c>
      <c r="K242" s="17"/>
      <c r="L242" s="17"/>
      <c r="M242" s="16" t="str">
        <f>HYPERLINK("http://slimages.macys.com/is/image/MCY/18954079 ")</f>
        <v xml:space="preserve">http://slimages.macys.com/is/image/MCY/18954079 </v>
      </c>
      <c r="N242" s="30"/>
    </row>
    <row r="243" spans="1:14" ht="60" x14ac:dyDescent="0.25">
      <c r="A243" s="19" t="s">
        <v>8466</v>
      </c>
      <c r="B243" s="17" t="s">
        <v>8465</v>
      </c>
      <c r="C243" s="20">
        <v>1</v>
      </c>
      <c r="D243" s="18">
        <v>79</v>
      </c>
      <c r="E243" s="20">
        <v>10717582</v>
      </c>
      <c r="F243" s="17" t="s">
        <v>164</v>
      </c>
      <c r="G243" s="19" t="s">
        <v>1191</v>
      </c>
      <c r="H243" s="18">
        <v>14.486666666666668</v>
      </c>
      <c r="I243" s="17" t="s">
        <v>358</v>
      </c>
      <c r="J243" s="17" t="s">
        <v>554</v>
      </c>
      <c r="K243" s="17" t="s">
        <v>389</v>
      </c>
      <c r="L243" s="17" t="s">
        <v>5074</v>
      </c>
      <c r="M243" s="16" t="str">
        <f>HYPERLINK("http://slimages.macys.com/is/image/MCY/14454118 ")</f>
        <v xml:space="preserve">http://slimages.macys.com/is/image/MCY/14454118 </v>
      </c>
      <c r="N243" s="30"/>
    </row>
    <row r="244" spans="1:14" ht="60" x14ac:dyDescent="0.25">
      <c r="A244" s="19" t="s">
        <v>8464</v>
      </c>
      <c r="B244" s="17" t="s">
        <v>8463</v>
      </c>
      <c r="C244" s="20">
        <v>1</v>
      </c>
      <c r="D244" s="18">
        <v>55.3</v>
      </c>
      <c r="E244" s="20" t="s">
        <v>6604</v>
      </c>
      <c r="F244" s="17" t="s">
        <v>237</v>
      </c>
      <c r="G244" s="19"/>
      <c r="H244" s="18">
        <v>14.426666666666668</v>
      </c>
      <c r="I244" s="17" t="s">
        <v>42</v>
      </c>
      <c r="J244" s="17" t="s">
        <v>41</v>
      </c>
      <c r="K244" s="17"/>
      <c r="L244" s="17"/>
      <c r="M244" s="16" t="str">
        <f>HYPERLINK("http://slimages.macys.com/is/image/MCY/18917091 ")</f>
        <v xml:space="preserve">http://slimages.macys.com/is/image/MCY/18917091 </v>
      </c>
      <c r="N244" s="30"/>
    </row>
    <row r="245" spans="1:14" ht="60" x14ac:dyDescent="0.25">
      <c r="A245" s="19" t="s">
        <v>8462</v>
      </c>
      <c r="B245" s="17" t="s">
        <v>8461</v>
      </c>
      <c r="C245" s="20">
        <v>1</v>
      </c>
      <c r="D245" s="18">
        <v>69</v>
      </c>
      <c r="E245" s="20">
        <v>10802064</v>
      </c>
      <c r="F245" s="17" t="s">
        <v>578</v>
      </c>
      <c r="G245" s="19" t="s">
        <v>74</v>
      </c>
      <c r="H245" s="18">
        <v>14.26</v>
      </c>
      <c r="I245" s="17" t="s">
        <v>144</v>
      </c>
      <c r="J245" s="17" t="s">
        <v>143</v>
      </c>
      <c r="K245" s="17"/>
      <c r="L245" s="17"/>
      <c r="M245" s="16" t="str">
        <f>HYPERLINK("http://slimages.macys.com/is/image/MCY/19096102 ")</f>
        <v xml:space="preserve">http://slimages.macys.com/is/image/MCY/19096102 </v>
      </c>
      <c r="N245" s="30"/>
    </row>
    <row r="246" spans="1:14" ht="60" x14ac:dyDescent="0.25">
      <c r="A246" s="19" t="s">
        <v>8460</v>
      </c>
      <c r="B246" s="17" t="s">
        <v>8459</v>
      </c>
      <c r="C246" s="20">
        <v>2</v>
      </c>
      <c r="D246" s="18">
        <v>69</v>
      </c>
      <c r="E246" s="20">
        <v>10804488</v>
      </c>
      <c r="F246" s="17" t="s">
        <v>1356</v>
      </c>
      <c r="G246" s="19" t="s">
        <v>69</v>
      </c>
      <c r="H246" s="18">
        <v>14.26</v>
      </c>
      <c r="I246" s="17" t="s">
        <v>144</v>
      </c>
      <c r="J246" s="17" t="s">
        <v>143</v>
      </c>
      <c r="K246" s="17"/>
      <c r="L246" s="17"/>
      <c r="M246" s="16" t="str">
        <f>HYPERLINK("http://slimages.macys.com/is/image/MCY/19286468 ")</f>
        <v xml:space="preserve">http://slimages.macys.com/is/image/MCY/19286468 </v>
      </c>
      <c r="N246" s="30"/>
    </row>
    <row r="247" spans="1:14" ht="60" x14ac:dyDescent="0.25">
      <c r="A247" s="19" t="s">
        <v>8458</v>
      </c>
      <c r="B247" s="17" t="s">
        <v>8457</v>
      </c>
      <c r="C247" s="20">
        <v>1</v>
      </c>
      <c r="D247" s="18">
        <v>69</v>
      </c>
      <c r="E247" s="20">
        <v>10802064</v>
      </c>
      <c r="F247" s="17" t="s">
        <v>578</v>
      </c>
      <c r="G247" s="19" t="s">
        <v>57</v>
      </c>
      <c r="H247" s="18">
        <v>14.26</v>
      </c>
      <c r="I247" s="17" t="s">
        <v>144</v>
      </c>
      <c r="J247" s="17" t="s">
        <v>143</v>
      </c>
      <c r="K247" s="17"/>
      <c r="L247" s="17"/>
      <c r="M247" s="16" t="str">
        <f>HYPERLINK("http://slimages.macys.com/is/image/MCY/19096102 ")</f>
        <v xml:space="preserve">http://slimages.macys.com/is/image/MCY/19096102 </v>
      </c>
      <c r="N247" s="30"/>
    </row>
    <row r="248" spans="1:14" ht="96" x14ac:dyDescent="0.25">
      <c r="A248" s="19" t="s">
        <v>8456</v>
      </c>
      <c r="B248" s="17" t="s">
        <v>8455</v>
      </c>
      <c r="C248" s="20">
        <v>1</v>
      </c>
      <c r="D248" s="18">
        <v>59.98</v>
      </c>
      <c r="E248" s="20" t="s">
        <v>8454</v>
      </c>
      <c r="F248" s="17" t="s">
        <v>44</v>
      </c>
      <c r="G248" s="19" t="s">
        <v>874</v>
      </c>
      <c r="H248" s="18">
        <v>13.993333333333336</v>
      </c>
      <c r="I248" s="17" t="s">
        <v>33</v>
      </c>
      <c r="J248" s="17" t="s">
        <v>32</v>
      </c>
      <c r="K248" s="17" t="s">
        <v>389</v>
      </c>
      <c r="L248" s="17" t="s">
        <v>8453</v>
      </c>
      <c r="M248" s="16" t="str">
        <f>HYPERLINK("http://slimages.macys.com/is/image/MCY/11156751 ")</f>
        <v xml:space="preserve">http://slimages.macys.com/is/image/MCY/11156751 </v>
      </c>
      <c r="N248" s="30"/>
    </row>
    <row r="249" spans="1:14" ht="60" x14ac:dyDescent="0.25">
      <c r="A249" s="19" t="s">
        <v>8452</v>
      </c>
      <c r="B249" s="17" t="s">
        <v>8451</v>
      </c>
      <c r="C249" s="20">
        <v>1</v>
      </c>
      <c r="D249" s="18">
        <v>98</v>
      </c>
      <c r="E249" s="20" t="s">
        <v>7431</v>
      </c>
      <c r="F249" s="17" t="s">
        <v>51</v>
      </c>
      <c r="G249" s="19" t="s">
        <v>74</v>
      </c>
      <c r="H249" s="18">
        <v>13.833333333333336</v>
      </c>
      <c r="I249" s="17" t="s">
        <v>133</v>
      </c>
      <c r="J249" s="17" t="s">
        <v>584</v>
      </c>
      <c r="K249" s="17"/>
      <c r="L249" s="17"/>
      <c r="M249" s="16" t="str">
        <f>HYPERLINK("http://slimages.macys.com/is/image/MCY/18445325 ")</f>
        <v xml:space="preserve">http://slimages.macys.com/is/image/MCY/18445325 </v>
      </c>
      <c r="N249" s="30"/>
    </row>
    <row r="250" spans="1:14" ht="60" x14ac:dyDescent="0.25">
      <c r="A250" s="19" t="s">
        <v>8450</v>
      </c>
      <c r="B250" s="17" t="s">
        <v>8449</v>
      </c>
      <c r="C250" s="20">
        <v>1</v>
      </c>
      <c r="D250" s="18">
        <v>69</v>
      </c>
      <c r="E250" s="20" t="s">
        <v>8448</v>
      </c>
      <c r="F250" s="17" t="s">
        <v>1022</v>
      </c>
      <c r="G250" s="19" t="s">
        <v>749</v>
      </c>
      <c r="H250" s="18">
        <v>13.799999999999999</v>
      </c>
      <c r="I250" s="17" t="s">
        <v>144</v>
      </c>
      <c r="J250" s="17" t="s">
        <v>496</v>
      </c>
      <c r="K250" s="17"/>
      <c r="L250" s="17"/>
      <c r="M250" s="16" t="str">
        <f>HYPERLINK("http://slimages.macys.com/is/image/MCY/18548955 ")</f>
        <v xml:space="preserve">http://slimages.macys.com/is/image/MCY/18548955 </v>
      </c>
      <c r="N250" s="30"/>
    </row>
    <row r="251" spans="1:14" ht="60" x14ac:dyDescent="0.25">
      <c r="A251" s="19" t="s">
        <v>8447</v>
      </c>
      <c r="B251" s="17" t="s">
        <v>8446</v>
      </c>
      <c r="C251" s="20">
        <v>1</v>
      </c>
      <c r="D251" s="18">
        <v>69</v>
      </c>
      <c r="E251" s="20" t="s">
        <v>8445</v>
      </c>
      <c r="F251" s="17" t="s">
        <v>508</v>
      </c>
      <c r="G251" s="19" t="s">
        <v>62</v>
      </c>
      <c r="H251" s="18">
        <v>13.799999999999999</v>
      </c>
      <c r="I251" s="17" t="s">
        <v>144</v>
      </c>
      <c r="J251" s="17" t="s">
        <v>496</v>
      </c>
      <c r="K251" s="17"/>
      <c r="L251" s="17"/>
      <c r="M251" s="16" t="str">
        <f>HYPERLINK("http://slimages.macys.com/is/image/MCY/19168364 ")</f>
        <v xml:space="preserve">http://slimages.macys.com/is/image/MCY/19168364 </v>
      </c>
      <c r="N251" s="30"/>
    </row>
    <row r="252" spans="1:14" ht="60" x14ac:dyDescent="0.25">
      <c r="A252" s="19" t="s">
        <v>8444</v>
      </c>
      <c r="B252" s="17" t="s">
        <v>8443</v>
      </c>
      <c r="C252" s="20">
        <v>2</v>
      </c>
      <c r="D252" s="18">
        <v>50</v>
      </c>
      <c r="E252" s="20" t="s">
        <v>8440</v>
      </c>
      <c r="F252" s="17" t="s">
        <v>51</v>
      </c>
      <c r="G252" s="19" t="s">
        <v>17</v>
      </c>
      <c r="H252" s="18">
        <v>13.466666666666667</v>
      </c>
      <c r="I252" s="17" t="s">
        <v>16</v>
      </c>
      <c r="J252" s="17" t="s">
        <v>15</v>
      </c>
      <c r="K252" s="17"/>
      <c r="L252" s="17"/>
      <c r="M252" s="16" t="str">
        <f>HYPERLINK("http://slimages.macys.com/is/image/MCY/17874233 ")</f>
        <v xml:space="preserve">http://slimages.macys.com/is/image/MCY/17874233 </v>
      </c>
      <c r="N252" s="30"/>
    </row>
    <row r="253" spans="1:14" ht="60" x14ac:dyDescent="0.25">
      <c r="A253" s="19" t="s">
        <v>8442</v>
      </c>
      <c r="B253" s="17" t="s">
        <v>8441</v>
      </c>
      <c r="C253" s="20">
        <v>1</v>
      </c>
      <c r="D253" s="18">
        <v>50</v>
      </c>
      <c r="E253" s="20" t="s">
        <v>8440</v>
      </c>
      <c r="F253" s="17" t="s">
        <v>23</v>
      </c>
      <c r="G253" s="19" t="s">
        <v>17</v>
      </c>
      <c r="H253" s="18">
        <v>13.466666666666667</v>
      </c>
      <c r="I253" s="17" t="s">
        <v>16</v>
      </c>
      <c r="J253" s="17" t="s">
        <v>15</v>
      </c>
      <c r="K253" s="17"/>
      <c r="L253" s="17"/>
      <c r="M253" s="16" t="str">
        <f>HYPERLINK("http://slimages.macys.com/is/image/MCY/17874233 ")</f>
        <v xml:space="preserve">http://slimages.macys.com/is/image/MCY/17874233 </v>
      </c>
      <c r="N253" s="30"/>
    </row>
    <row r="254" spans="1:14" ht="60" x14ac:dyDescent="0.25">
      <c r="A254" s="19" t="s">
        <v>8439</v>
      </c>
      <c r="B254" s="17" t="s">
        <v>8438</v>
      </c>
      <c r="C254" s="20">
        <v>1</v>
      </c>
      <c r="D254" s="18">
        <v>69</v>
      </c>
      <c r="E254" s="20">
        <v>10551766</v>
      </c>
      <c r="F254" s="17" t="s">
        <v>51</v>
      </c>
      <c r="G254" s="19" t="s">
        <v>658</v>
      </c>
      <c r="H254" s="18">
        <v>13.34</v>
      </c>
      <c r="I254" s="17" t="s">
        <v>144</v>
      </c>
      <c r="J254" s="17" t="s">
        <v>143</v>
      </c>
      <c r="K254" s="17" t="s">
        <v>389</v>
      </c>
      <c r="L254" s="17" t="s">
        <v>1167</v>
      </c>
      <c r="M254" s="16" t="str">
        <f>HYPERLINK("http://slimages.macys.com/is/image/MCY/2659502 ")</f>
        <v xml:space="preserve">http://slimages.macys.com/is/image/MCY/2659502 </v>
      </c>
      <c r="N254" s="30"/>
    </row>
    <row r="255" spans="1:14" ht="60" x14ac:dyDescent="0.25">
      <c r="A255" s="19" t="s">
        <v>8437</v>
      </c>
      <c r="B255" s="17" t="s">
        <v>8436</v>
      </c>
      <c r="C255" s="20">
        <v>1</v>
      </c>
      <c r="D255" s="18">
        <v>79</v>
      </c>
      <c r="E255" s="20">
        <v>2360305</v>
      </c>
      <c r="F255" s="17" t="s">
        <v>23</v>
      </c>
      <c r="G255" s="19" t="s">
        <v>658</v>
      </c>
      <c r="H255" s="18">
        <v>13.333333333333334</v>
      </c>
      <c r="I255" s="17" t="s">
        <v>80</v>
      </c>
      <c r="J255" s="17" t="s">
        <v>293</v>
      </c>
      <c r="K255" s="17"/>
      <c r="L255" s="17"/>
      <c r="M255" s="16" t="str">
        <f>HYPERLINK("http://slimages.macys.com/is/image/MCY/18336865 ")</f>
        <v xml:space="preserve">http://slimages.macys.com/is/image/MCY/18336865 </v>
      </c>
      <c r="N255" s="30"/>
    </row>
    <row r="256" spans="1:14" ht="60" x14ac:dyDescent="0.25">
      <c r="A256" s="19" t="s">
        <v>8435</v>
      </c>
      <c r="B256" s="17" t="s">
        <v>8434</v>
      </c>
      <c r="C256" s="20">
        <v>1</v>
      </c>
      <c r="D256" s="18">
        <v>79</v>
      </c>
      <c r="E256" s="20">
        <v>2321530</v>
      </c>
      <c r="F256" s="17" t="s">
        <v>28</v>
      </c>
      <c r="G256" s="19" t="s">
        <v>101</v>
      </c>
      <c r="H256" s="18">
        <v>13.333333333333334</v>
      </c>
      <c r="I256" s="17" t="s">
        <v>80</v>
      </c>
      <c r="J256" s="17" t="s">
        <v>293</v>
      </c>
      <c r="K256" s="17"/>
      <c r="L256" s="17"/>
      <c r="M256" s="16" t="str">
        <f>HYPERLINK("http://slimages.macys.com/is/image/MCY/18605748 ")</f>
        <v xml:space="preserve">http://slimages.macys.com/is/image/MCY/18605748 </v>
      </c>
      <c r="N256" s="30"/>
    </row>
    <row r="257" spans="1:14" ht="60" x14ac:dyDescent="0.25">
      <c r="A257" s="19" t="s">
        <v>8433</v>
      </c>
      <c r="B257" s="17" t="s">
        <v>8432</v>
      </c>
      <c r="C257" s="20">
        <v>1</v>
      </c>
      <c r="D257" s="18">
        <v>79</v>
      </c>
      <c r="E257" s="20">
        <v>2321530</v>
      </c>
      <c r="F257" s="17" t="s">
        <v>28</v>
      </c>
      <c r="G257" s="19" t="s">
        <v>17</v>
      </c>
      <c r="H257" s="18">
        <v>13.333333333333334</v>
      </c>
      <c r="I257" s="17" t="s">
        <v>80</v>
      </c>
      <c r="J257" s="17" t="s">
        <v>293</v>
      </c>
      <c r="K257" s="17"/>
      <c r="L257" s="17"/>
      <c r="M257" s="16" t="str">
        <f>HYPERLINK("http://slimages.macys.com/is/image/MCY/18605748 ")</f>
        <v xml:space="preserve">http://slimages.macys.com/is/image/MCY/18605748 </v>
      </c>
      <c r="N257" s="30"/>
    </row>
    <row r="258" spans="1:14" ht="60" x14ac:dyDescent="0.25">
      <c r="A258" s="19" t="s">
        <v>8431</v>
      </c>
      <c r="B258" s="17" t="s">
        <v>8430</v>
      </c>
      <c r="C258" s="20">
        <v>1</v>
      </c>
      <c r="D258" s="18">
        <v>99</v>
      </c>
      <c r="E258" s="20">
        <v>2331901</v>
      </c>
      <c r="F258" s="17" t="s">
        <v>1022</v>
      </c>
      <c r="G258" s="19" t="s">
        <v>698</v>
      </c>
      <c r="H258" s="18">
        <v>13.333333333333334</v>
      </c>
      <c r="I258" s="17" t="s">
        <v>80</v>
      </c>
      <c r="J258" s="17" t="s">
        <v>293</v>
      </c>
      <c r="K258" s="17"/>
      <c r="L258" s="17"/>
      <c r="M258" s="16" t="str">
        <f>HYPERLINK("http://slimages.macys.com/is/image/MCY/19109894 ")</f>
        <v xml:space="preserve">http://slimages.macys.com/is/image/MCY/19109894 </v>
      </c>
      <c r="N258" s="30"/>
    </row>
    <row r="259" spans="1:14" ht="60" x14ac:dyDescent="0.25">
      <c r="A259" s="19" t="s">
        <v>8429</v>
      </c>
      <c r="B259" s="17" t="s">
        <v>8428</v>
      </c>
      <c r="C259" s="20">
        <v>1</v>
      </c>
      <c r="D259" s="18">
        <v>79</v>
      </c>
      <c r="E259" s="20">
        <v>10736484</v>
      </c>
      <c r="F259" s="17" t="s">
        <v>555</v>
      </c>
      <c r="G259" s="19" t="s">
        <v>62</v>
      </c>
      <c r="H259" s="18">
        <v>13.166666666666668</v>
      </c>
      <c r="I259" s="17" t="s">
        <v>144</v>
      </c>
      <c r="J259" s="17" t="s">
        <v>1211</v>
      </c>
      <c r="K259" s="17" t="s">
        <v>389</v>
      </c>
      <c r="L259" s="17" t="s">
        <v>1167</v>
      </c>
      <c r="M259" s="16" t="str">
        <f>HYPERLINK("http://slimages.macys.com/is/image/MCY/15219003 ")</f>
        <v xml:space="preserve">http://slimages.macys.com/is/image/MCY/15219003 </v>
      </c>
      <c r="N259" s="30"/>
    </row>
    <row r="260" spans="1:14" ht="60" x14ac:dyDescent="0.25">
      <c r="A260" s="19" t="s">
        <v>8427</v>
      </c>
      <c r="B260" s="17" t="s">
        <v>8426</v>
      </c>
      <c r="C260" s="20">
        <v>1</v>
      </c>
      <c r="D260" s="18">
        <v>79</v>
      </c>
      <c r="E260" s="20" t="s">
        <v>3651</v>
      </c>
      <c r="F260" s="17" t="s">
        <v>58</v>
      </c>
      <c r="G260" s="19" t="s">
        <v>22</v>
      </c>
      <c r="H260" s="18">
        <v>13.166666666666668</v>
      </c>
      <c r="I260" s="17" t="s">
        <v>129</v>
      </c>
      <c r="J260" s="17" t="s">
        <v>2842</v>
      </c>
      <c r="K260" s="17"/>
      <c r="L260" s="17"/>
      <c r="M260" s="16" t="str">
        <f>HYPERLINK("http://slimages.macys.com/is/image/MCY/18965884 ")</f>
        <v xml:space="preserve">http://slimages.macys.com/is/image/MCY/18965884 </v>
      </c>
      <c r="N260" s="30"/>
    </row>
    <row r="261" spans="1:14" ht="60" x14ac:dyDescent="0.25">
      <c r="A261" s="19" t="s">
        <v>8425</v>
      </c>
      <c r="B261" s="17" t="s">
        <v>8424</v>
      </c>
      <c r="C261" s="20">
        <v>1</v>
      </c>
      <c r="D261" s="18">
        <v>79</v>
      </c>
      <c r="E261" s="20">
        <v>7030300</v>
      </c>
      <c r="F261" s="17" t="s">
        <v>91</v>
      </c>
      <c r="G261" s="19" t="s">
        <v>116</v>
      </c>
      <c r="H261" s="18">
        <v>13.166666666666668</v>
      </c>
      <c r="I261" s="17" t="s">
        <v>111</v>
      </c>
      <c r="J261" s="17" t="s">
        <v>110</v>
      </c>
      <c r="K261" s="17"/>
      <c r="L261" s="17"/>
      <c r="M261" s="16" t="str">
        <f>HYPERLINK("http://slimages.macys.com/is/image/MCY/18502101 ")</f>
        <v xml:space="preserve">http://slimages.macys.com/is/image/MCY/18502101 </v>
      </c>
      <c r="N261" s="30"/>
    </row>
    <row r="262" spans="1:14" ht="60" x14ac:dyDescent="0.25">
      <c r="A262" s="19" t="s">
        <v>8423</v>
      </c>
      <c r="B262" s="17" t="s">
        <v>8422</v>
      </c>
      <c r="C262" s="20">
        <v>1</v>
      </c>
      <c r="D262" s="18">
        <v>69.5</v>
      </c>
      <c r="E262" s="20" t="s">
        <v>8416</v>
      </c>
      <c r="F262" s="17" t="s">
        <v>23</v>
      </c>
      <c r="G262" s="19" t="s">
        <v>96</v>
      </c>
      <c r="H262" s="18">
        <v>13.086666666666668</v>
      </c>
      <c r="I262" s="17" t="s">
        <v>68</v>
      </c>
      <c r="J262" s="17" t="s">
        <v>67</v>
      </c>
      <c r="K262" s="17"/>
      <c r="L262" s="17"/>
      <c r="M262" s="16" t="str">
        <f>HYPERLINK("http://slimages.macys.com/is/image/MCY/18855032 ")</f>
        <v xml:space="preserve">http://slimages.macys.com/is/image/MCY/18855032 </v>
      </c>
      <c r="N262" s="30"/>
    </row>
    <row r="263" spans="1:14" ht="60" x14ac:dyDescent="0.25">
      <c r="A263" s="19" t="s">
        <v>8421</v>
      </c>
      <c r="B263" s="17" t="s">
        <v>8420</v>
      </c>
      <c r="C263" s="20">
        <v>1</v>
      </c>
      <c r="D263" s="18">
        <v>69.5</v>
      </c>
      <c r="E263" s="20" t="s">
        <v>8419</v>
      </c>
      <c r="F263" s="17" t="s">
        <v>23</v>
      </c>
      <c r="G263" s="19" t="s">
        <v>62</v>
      </c>
      <c r="H263" s="18">
        <v>13.086666666666668</v>
      </c>
      <c r="I263" s="17" t="s">
        <v>68</v>
      </c>
      <c r="J263" s="17" t="s">
        <v>67</v>
      </c>
      <c r="K263" s="17"/>
      <c r="L263" s="17"/>
      <c r="M263" s="16" t="str">
        <f>HYPERLINK("http://slimages.macys.com/is/image/MCY/18560824 ")</f>
        <v xml:space="preserve">http://slimages.macys.com/is/image/MCY/18560824 </v>
      </c>
      <c r="N263" s="30"/>
    </row>
    <row r="264" spans="1:14" ht="60" x14ac:dyDescent="0.25">
      <c r="A264" s="19" t="s">
        <v>8418</v>
      </c>
      <c r="B264" s="17" t="s">
        <v>8417</v>
      </c>
      <c r="C264" s="20">
        <v>1</v>
      </c>
      <c r="D264" s="18">
        <v>69.5</v>
      </c>
      <c r="E264" s="20" t="s">
        <v>8416</v>
      </c>
      <c r="F264" s="17" t="s">
        <v>23</v>
      </c>
      <c r="G264" s="19" t="s">
        <v>682</v>
      </c>
      <c r="H264" s="18">
        <v>13.086666666666668</v>
      </c>
      <c r="I264" s="17" t="s">
        <v>68</v>
      </c>
      <c r="J264" s="17" t="s">
        <v>67</v>
      </c>
      <c r="K264" s="17"/>
      <c r="L264" s="17"/>
      <c r="M264" s="16" t="str">
        <f>HYPERLINK("http://slimages.macys.com/is/image/MCY/18855032 ")</f>
        <v xml:space="preserve">http://slimages.macys.com/is/image/MCY/18855032 </v>
      </c>
      <c r="N264" s="30"/>
    </row>
    <row r="265" spans="1:14" ht="60" x14ac:dyDescent="0.25">
      <c r="A265" s="19" t="s">
        <v>8415</v>
      </c>
      <c r="B265" s="17" t="s">
        <v>8414</v>
      </c>
      <c r="C265" s="20">
        <v>1</v>
      </c>
      <c r="D265" s="18">
        <v>69.5</v>
      </c>
      <c r="E265" s="20" t="s">
        <v>7400</v>
      </c>
      <c r="F265" s="17" t="s">
        <v>282</v>
      </c>
      <c r="G265" s="19" t="s">
        <v>682</v>
      </c>
      <c r="H265" s="18">
        <v>13.086666666666668</v>
      </c>
      <c r="I265" s="17" t="s">
        <v>68</v>
      </c>
      <c r="J265" s="17" t="s">
        <v>67</v>
      </c>
      <c r="K265" s="17" t="s">
        <v>389</v>
      </c>
      <c r="L265" s="17" t="s">
        <v>472</v>
      </c>
      <c r="M265" s="16" t="str">
        <f>HYPERLINK("http://slimages.macys.com/is/image/MCY/8068048 ")</f>
        <v xml:space="preserve">http://slimages.macys.com/is/image/MCY/8068048 </v>
      </c>
      <c r="N265" s="30"/>
    </row>
    <row r="266" spans="1:14" ht="60" x14ac:dyDescent="0.25">
      <c r="A266" s="19" t="s">
        <v>8413</v>
      </c>
      <c r="B266" s="17" t="s">
        <v>8412</v>
      </c>
      <c r="C266" s="20">
        <v>1</v>
      </c>
      <c r="D266" s="18">
        <v>69.5</v>
      </c>
      <c r="E266" s="20" t="s">
        <v>8397</v>
      </c>
      <c r="F266" s="17" t="s">
        <v>91</v>
      </c>
      <c r="G266" s="19" t="s">
        <v>57</v>
      </c>
      <c r="H266" s="18">
        <v>13.086666666666668</v>
      </c>
      <c r="I266" s="17" t="s">
        <v>56</v>
      </c>
      <c r="J266" s="17" t="s">
        <v>55</v>
      </c>
      <c r="K266" s="17"/>
      <c r="L266" s="17"/>
      <c r="M266" s="16" t="str">
        <f>HYPERLINK("http://slimages.macys.com/is/image/MCY/19018389 ")</f>
        <v xml:space="preserve">http://slimages.macys.com/is/image/MCY/19018389 </v>
      </c>
      <c r="N266" s="30"/>
    </row>
    <row r="267" spans="1:14" ht="60" x14ac:dyDescent="0.25">
      <c r="A267" s="19" t="s">
        <v>8411</v>
      </c>
      <c r="B267" s="17" t="s">
        <v>8410</v>
      </c>
      <c r="C267" s="20">
        <v>1</v>
      </c>
      <c r="D267" s="18">
        <v>69.5</v>
      </c>
      <c r="E267" s="20" t="s">
        <v>8409</v>
      </c>
      <c r="F267" s="17" t="s">
        <v>514</v>
      </c>
      <c r="G267" s="19" t="s">
        <v>62</v>
      </c>
      <c r="H267" s="18">
        <v>13.086666666666668</v>
      </c>
      <c r="I267" s="17" t="s">
        <v>56</v>
      </c>
      <c r="J267" s="17" t="s">
        <v>55</v>
      </c>
      <c r="K267" s="17"/>
      <c r="L267" s="17"/>
      <c r="M267" s="16" t="str">
        <f>HYPERLINK("http://slimages.macys.com/is/image/MCY/18913999 ")</f>
        <v xml:space="preserve">http://slimages.macys.com/is/image/MCY/18913999 </v>
      </c>
      <c r="N267" s="30"/>
    </row>
    <row r="268" spans="1:14" ht="60" x14ac:dyDescent="0.25">
      <c r="A268" s="19" t="s">
        <v>8408</v>
      </c>
      <c r="B268" s="17" t="s">
        <v>8407</v>
      </c>
      <c r="C268" s="20">
        <v>1</v>
      </c>
      <c r="D268" s="18">
        <v>69.5</v>
      </c>
      <c r="E268" s="20" t="s">
        <v>8406</v>
      </c>
      <c r="F268" s="17" t="s">
        <v>206</v>
      </c>
      <c r="G268" s="19" t="s">
        <v>197</v>
      </c>
      <c r="H268" s="18">
        <v>13.086666666666668</v>
      </c>
      <c r="I268" s="17" t="s">
        <v>68</v>
      </c>
      <c r="J268" s="17" t="s">
        <v>67</v>
      </c>
      <c r="K268" s="17"/>
      <c r="L268" s="17"/>
      <c r="M268" s="16" t="str">
        <f>HYPERLINK("http://slimages.macys.com/is/image/MCY/19180526 ")</f>
        <v xml:space="preserve">http://slimages.macys.com/is/image/MCY/19180526 </v>
      </c>
      <c r="N268" s="30"/>
    </row>
    <row r="269" spans="1:14" ht="60" x14ac:dyDescent="0.25">
      <c r="A269" s="19" t="s">
        <v>8405</v>
      </c>
      <c r="B269" s="17" t="s">
        <v>8404</v>
      </c>
      <c r="C269" s="20">
        <v>1</v>
      </c>
      <c r="D269" s="18">
        <v>69.5</v>
      </c>
      <c r="E269" s="20" t="s">
        <v>8403</v>
      </c>
      <c r="F269" s="17" t="s">
        <v>508</v>
      </c>
      <c r="G269" s="19" t="s">
        <v>898</v>
      </c>
      <c r="H269" s="18">
        <v>13.086666666666668</v>
      </c>
      <c r="I269" s="17" t="s">
        <v>68</v>
      </c>
      <c r="J269" s="17" t="s">
        <v>67</v>
      </c>
      <c r="K269" s="17"/>
      <c r="L269" s="17"/>
      <c r="M269" s="16" t="str">
        <f>HYPERLINK("http://slimages.macys.com/is/image/MCY/19179896 ")</f>
        <v xml:space="preserve">http://slimages.macys.com/is/image/MCY/19179896 </v>
      </c>
      <c r="N269" s="30"/>
    </row>
    <row r="270" spans="1:14" ht="60" x14ac:dyDescent="0.25">
      <c r="A270" s="19" t="s">
        <v>8402</v>
      </c>
      <c r="B270" s="17" t="s">
        <v>8401</v>
      </c>
      <c r="C270" s="20">
        <v>1</v>
      </c>
      <c r="D270" s="18">
        <v>69.5</v>
      </c>
      <c r="E270" s="20" t="s">
        <v>8400</v>
      </c>
      <c r="F270" s="17" t="s">
        <v>23</v>
      </c>
      <c r="G270" s="19" t="s">
        <v>74</v>
      </c>
      <c r="H270" s="18">
        <v>13.086666666666668</v>
      </c>
      <c r="I270" s="17" t="s">
        <v>68</v>
      </c>
      <c r="J270" s="17" t="s">
        <v>67</v>
      </c>
      <c r="K270" s="17"/>
      <c r="L270" s="17"/>
      <c r="M270" s="16" t="str">
        <f>HYPERLINK("http://slimages.macys.com/is/image/MCY/18856852 ")</f>
        <v xml:space="preserve">http://slimages.macys.com/is/image/MCY/18856852 </v>
      </c>
      <c r="N270" s="30"/>
    </row>
    <row r="271" spans="1:14" ht="60" x14ac:dyDescent="0.25">
      <c r="A271" s="19" t="s">
        <v>8399</v>
      </c>
      <c r="B271" s="17" t="s">
        <v>8398</v>
      </c>
      <c r="C271" s="20">
        <v>1</v>
      </c>
      <c r="D271" s="18">
        <v>69.5</v>
      </c>
      <c r="E271" s="20" t="s">
        <v>8397</v>
      </c>
      <c r="F271" s="17" t="s">
        <v>91</v>
      </c>
      <c r="G271" s="19" t="s">
        <v>197</v>
      </c>
      <c r="H271" s="18">
        <v>13.086666666666668</v>
      </c>
      <c r="I271" s="17" t="s">
        <v>56</v>
      </c>
      <c r="J271" s="17" t="s">
        <v>55</v>
      </c>
      <c r="K271" s="17"/>
      <c r="L271" s="17"/>
      <c r="M271" s="16" t="str">
        <f>HYPERLINK("http://slimages.macys.com/is/image/MCY/19018389 ")</f>
        <v xml:space="preserve">http://slimages.macys.com/is/image/MCY/19018389 </v>
      </c>
      <c r="N271" s="30"/>
    </row>
    <row r="272" spans="1:14" ht="60" x14ac:dyDescent="0.25">
      <c r="A272" s="19" t="s">
        <v>8396</v>
      </c>
      <c r="B272" s="17" t="s">
        <v>8395</v>
      </c>
      <c r="C272" s="20">
        <v>1</v>
      </c>
      <c r="D272" s="18">
        <v>69.5</v>
      </c>
      <c r="E272" s="20" t="s">
        <v>8394</v>
      </c>
      <c r="F272" s="17" t="s">
        <v>28</v>
      </c>
      <c r="G272" s="19" t="s">
        <v>197</v>
      </c>
      <c r="H272" s="18">
        <v>13.086666666666668</v>
      </c>
      <c r="I272" s="17" t="s">
        <v>68</v>
      </c>
      <c r="J272" s="17" t="s">
        <v>67</v>
      </c>
      <c r="K272" s="17" t="s">
        <v>389</v>
      </c>
      <c r="L272" s="17" t="s">
        <v>1129</v>
      </c>
      <c r="M272" s="16" t="str">
        <f>HYPERLINK("http://slimages.macys.com/is/image/MCY/12669078 ")</f>
        <v xml:space="preserve">http://slimages.macys.com/is/image/MCY/12669078 </v>
      </c>
      <c r="N272" s="30"/>
    </row>
    <row r="273" spans="1:14" ht="60" x14ac:dyDescent="0.25">
      <c r="A273" s="19" t="s">
        <v>5760</v>
      </c>
      <c r="B273" s="17" t="s">
        <v>5759</v>
      </c>
      <c r="C273" s="20">
        <v>1</v>
      </c>
      <c r="D273" s="18">
        <v>59</v>
      </c>
      <c r="E273" s="20" t="s">
        <v>5758</v>
      </c>
      <c r="F273" s="17" t="s">
        <v>140</v>
      </c>
      <c r="G273" s="19" t="s">
        <v>62</v>
      </c>
      <c r="H273" s="18">
        <v>13.020000000000001</v>
      </c>
      <c r="I273" s="17" t="s">
        <v>49</v>
      </c>
      <c r="J273" s="17" t="s">
        <v>48</v>
      </c>
      <c r="K273" s="17"/>
      <c r="L273" s="17"/>
      <c r="M273" s="16" t="str">
        <f>HYPERLINK("http://slimages.macys.com/is/image/MCY/19191690 ")</f>
        <v xml:space="preserve">http://slimages.macys.com/is/image/MCY/19191690 </v>
      </c>
      <c r="N273" s="30"/>
    </row>
    <row r="274" spans="1:14" ht="60" x14ac:dyDescent="0.25">
      <c r="A274" s="19" t="s">
        <v>8393</v>
      </c>
      <c r="B274" s="17" t="s">
        <v>8392</v>
      </c>
      <c r="C274" s="20">
        <v>1</v>
      </c>
      <c r="D274" s="18">
        <v>59</v>
      </c>
      <c r="E274" s="20" t="s">
        <v>3595</v>
      </c>
      <c r="F274" s="17" t="s">
        <v>164</v>
      </c>
      <c r="G274" s="19" t="s">
        <v>50</v>
      </c>
      <c r="H274" s="18">
        <v>13.020000000000001</v>
      </c>
      <c r="I274" s="17" t="s">
        <v>49</v>
      </c>
      <c r="J274" s="17" t="s">
        <v>48</v>
      </c>
      <c r="K274" s="17"/>
      <c r="L274" s="17"/>
      <c r="M274" s="16" t="str">
        <f>HYPERLINK("http://slimages.macys.com/is/image/MCY/16632936 ")</f>
        <v xml:space="preserve">http://slimages.macys.com/is/image/MCY/16632936 </v>
      </c>
      <c r="N274" s="30"/>
    </row>
    <row r="275" spans="1:14" ht="60" x14ac:dyDescent="0.25">
      <c r="A275" s="19" t="s">
        <v>8391</v>
      </c>
      <c r="B275" s="17" t="s">
        <v>8390</v>
      </c>
      <c r="C275" s="20">
        <v>1</v>
      </c>
      <c r="D275" s="18">
        <v>59</v>
      </c>
      <c r="E275" s="20" t="s">
        <v>1147</v>
      </c>
      <c r="F275" s="17" t="s">
        <v>58</v>
      </c>
      <c r="G275" s="19" t="s">
        <v>101</v>
      </c>
      <c r="H275" s="18">
        <v>13.020000000000001</v>
      </c>
      <c r="I275" s="17" t="s">
        <v>49</v>
      </c>
      <c r="J275" s="17" t="s">
        <v>48</v>
      </c>
      <c r="K275" s="17"/>
      <c r="L275" s="17"/>
      <c r="M275" s="16" t="str">
        <f>HYPERLINK("http://slimages.macys.com/is/image/MCY/18750027 ")</f>
        <v xml:space="preserve">http://slimages.macys.com/is/image/MCY/18750027 </v>
      </c>
      <c r="N275" s="30"/>
    </row>
    <row r="276" spans="1:14" ht="60" x14ac:dyDescent="0.25">
      <c r="A276" s="19" t="s">
        <v>8389</v>
      </c>
      <c r="B276" s="17" t="s">
        <v>8388</v>
      </c>
      <c r="C276" s="20">
        <v>2</v>
      </c>
      <c r="D276" s="18">
        <v>51.75</v>
      </c>
      <c r="E276" s="20" t="s">
        <v>8387</v>
      </c>
      <c r="F276" s="17" t="s">
        <v>575</v>
      </c>
      <c r="G276" s="19" t="s">
        <v>271</v>
      </c>
      <c r="H276" s="18">
        <v>13.020000000000001</v>
      </c>
      <c r="I276" s="17" t="s">
        <v>358</v>
      </c>
      <c r="J276" s="17" t="s">
        <v>32</v>
      </c>
      <c r="K276" s="17"/>
      <c r="L276" s="17"/>
      <c r="M276" s="16" t="str">
        <f>HYPERLINK("http://slimages.macys.com/is/image/MCY/18994280 ")</f>
        <v xml:space="preserve">http://slimages.macys.com/is/image/MCY/18994280 </v>
      </c>
      <c r="N276" s="30"/>
    </row>
    <row r="277" spans="1:14" ht="60" x14ac:dyDescent="0.25">
      <c r="A277" s="19" t="s">
        <v>8386</v>
      </c>
      <c r="B277" s="17" t="s">
        <v>8385</v>
      </c>
      <c r="C277" s="20">
        <v>1</v>
      </c>
      <c r="D277" s="18">
        <v>59</v>
      </c>
      <c r="E277" s="20" t="s">
        <v>434</v>
      </c>
      <c r="F277" s="17" t="s">
        <v>433</v>
      </c>
      <c r="G277" s="19" t="s">
        <v>50</v>
      </c>
      <c r="H277" s="18">
        <v>13.020000000000001</v>
      </c>
      <c r="I277" s="17" t="s">
        <v>49</v>
      </c>
      <c r="J277" s="17" t="s">
        <v>48</v>
      </c>
      <c r="K277" s="17"/>
      <c r="L277" s="17"/>
      <c r="M277" s="16" t="str">
        <f>HYPERLINK("http://slimages.macys.com/is/image/MCY/19360103 ")</f>
        <v xml:space="preserve">http://slimages.macys.com/is/image/MCY/19360103 </v>
      </c>
      <c r="N277" s="30"/>
    </row>
    <row r="278" spans="1:14" ht="60" x14ac:dyDescent="0.25">
      <c r="A278" s="19" t="s">
        <v>8384</v>
      </c>
      <c r="B278" s="17" t="s">
        <v>8383</v>
      </c>
      <c r="C278" s="20">
        <v>1</v>
      </c>
      <c r="D278" s="18">
        <v>99</v>
      </c>
      <c r="E278" s="20">
        <v>2331911</v>
      </c>
      <c r="F278" s="17" t="s">
        <v>23</v>
      </c>
      <c r="G278" s="19" t="s">
        <v>22</v>
      </c>
      <c r="H278" s="18">
        <v>13</v>
      </c>
      <c r="I278" s="17" t="s">
        <v>80</v>
      </c>
      <c r="J278" s="17" t="s">
        <v>293</v>
      </c>
      <c r="K278" s="17"/>
      <c r="L278" s="17"/>
      <c r="M278" s="16" t="str">
        <f>HYPERLINK("http://slimages.macys.com/is/image/MCY/19107730 ")</f>
        <v xml:space="preserve">http://slimages.macys.com/is/image/MCY/19107730 </v>
      </c>
      <c r="N278" s="30"/>
    </row>
    <row r="279" spans="1:14" ht="60" x14ac:dyDescent="0.25">
      <c r="A279" s="19" t="s">
        <v>8382</v>
      </c>
      <c r="B279" s="17" t="s">
        <v>8381</v>
      </c>
      <c r="C279" s="20">
        <v>1</v>
      </c>
      <c r="D279" s="18">
        <v>99</v>
      </c>
      <c r="E279" s="20">
        <v>2331911</v>
      </c>
      <c r="F279" s="17" t="s">
        <v>23</v>
      </c>
      <c r="G279" s="19" t="s">
        <v>101</v>
      </c>
      <c r="H279" s="18">
        <v>13</v>
      </c>
      <c r="I279" s="17" t="s">
        <v>80</v>
      </c>
      <c r="J279" s="17" t="s">
        <v>293</v>
      </c>
      <c r="K279" s="17"/>
      <c r="L279" s="17"/>
      <c r="M279" s="16" t="str">
        <f>HYPERLINK("http://slimages.macys.com/is/image/MCY/19107730 ")</f>
        <v xml:space="preserve">http://slimages.macys.com/is/image/MCY/19107730 </v>
      </c>
      <c r="N279" s="30"/>
    </row>
    <row r="280" spans="1:14" ht="60" x14ac:dyDescent="0.25">
      <c r="A280" s="19" t="s">
        <v>8380</v>
      </c>
      <c r="B280" s="17" t="s">
        <v>8379</v>
      </c>
      <c r="C280" s="20">
        <v>1</v>
      </c>
      <c r="D280" s="18">
        <v>69</v>
      </c>
      <c r="E280" s="20" t="s">
        <v>8378</v>
      </c>
      <c r="F280" s="17" t="s">
        <v>23</v>
      </c>
      <c r="G280" s="19" t="s">
        <v>62</v>
      </c>
      <c r="H280" s="18">
        <v>12.9</v>
      </c>
      <c r="I280" s="17" t="s">
        <v>820</v>
      </c>
      <c r="J280" s="17" t="s">
        <v>67</v>
      </c>
      <c r="K280" s="17"/>
      <c r="L280" s="17"/>
      <c r="M280" s="16" t="str">
        <f>HYPERLINK("http://slimages.macys.com/is/image/MCY/19345209 ")</f>
        <v xml:space="preserve">http://slimages.macys.com/is/image/MCY/19345209 </v>
      </c>
      <c r="N280" s="30"/>
    </row>
    <row r="281" spans="1:14" ht="60" x14ac:dyDescent="0.25">
      <c r="A281" s="19" t="s">
        <v>8377</v>
      </c>
      <c r="B281" s="17" t="s">
        <v>8376</v>
      </c>
      <c r="C281" s="20">
        <v>1</v>
      </c>
      <c r="D281" s="18">
        <v>69</v>
      </c>
      <c r="E281" s="20">
        <v>10688738</v>
      </c>
      <c r="F281" s="17" t="s">
        <v>23</v>
      </c>
      <c r="G281" s="19" t="s">
        <v>96</v>
      </c>
      <c r="H281" s="18">
        <v>12.88</v>
      </c>
      <c r="I281" s="17" t="s">
        <v>144</v>
      </c>
      <c r="J281" s="17" t="s">
        <v>114</v>
      </c>
      <c r="K281" s="17" t="s">
        <v>389</v>
      </c>
      <c r="L281" s="17" t="s">
        <v>1359</v>
      </c>
      <c r="M281" s="16" t="str">
        <f>HYPERLINK("http://slimages.macys.com/is/image/MCY/9990186 ")</f>
        <v xml:space="preserve">http://slimages.macys.com/is/image/MCY/9990186 </v>
      </c>
      <c r="N281" s="30"/>
    </row>
    <row r="282" spans="1:14" ht="72" x14ac:dyDescent="0.25">
      <c r="A282" s="19" t="s">
        <v>8375</v>
      </c>
      <c r="B282" s="17" t="s">
        <v>8374</v>
      </c>
      <c r="C282" s="20">
        <v>1</v>
      </c>
      <c r="D282" s="18">
        <v>69</v>
      </c>
      <c r="E282" s="20" t="s">
        <v>8373</v>
      </c>
      <c r="F282" s="17" t="s">
        <v>58</v>
      </c>
      <c r="G282" s="19" t="s">
        <v>749</v>
      </c>
      <c r="H282" s="18">
        <v>12.8</v>
      </c>
      <c r="I282" s="17" t="s">
        <v>1363</v>
      </c>
      <c r="J282" s="17" t="s">
        <v>1362</v>
      </c>
      <c r="K282" s="17" t="s">
        <v>389</v>
      </c>
      <c r="L282" s="17" t="s">
        <v>8372</v>
      </c>
      <c r="M282" s="16" t="str">
        <f>HYPERLINK("http://slimages.macys.com/is/image/MCY/15858507 ")</f>
        <v xml:space="preserve">http://slimages.macys.com/is/image/MCY/15858507 </v>
      </c>
      <c r="N282" s="30"/>
    </row>
    <row r="283" spans="1:14" ht="60" x14ac:dyDescent="0.25">
      <c r="A283" s="19" t="s">
        <v>8371</v>
      </c>
      <c r="B283" s="17" t="s">
        <v>8370</v>
      </c>
      <c r="C283" s="20">
        <v>1</v>
      </c>
      <c r="D283" s="18">
        <v>69.5</v>
      </c>
      <c r="E283" s="20" t="s">
        <v>8369</v>
      </c>
      <c r="F283" s="17" t="s">
        <v>51</v>
      </c>
      <c r="G283" s="19" t="s">
        <v>139</v>
      </c>
      <c r="H283" s="18">
        <v>12.74</v>
      </c>
      <c r="I283" s="17" t="s">
        <v>267</v>
      </c>
      <c r="J283" s="17" t="s">
        <v>32</v>
      </c>
      <c r="K283" s="17"/>
      <c r="L283" s="17"/>
      <c r="M283" s="16" t="str">
        <f>HYPERLINK("http://slimages.macys.com/is/image/MCY/19267124 ")</f>
        <v xml:space="preserve">http://slimages.macys.com/is/image/MCY/19267124 </v>
      </c>
      <c r="N283" s="30"/>
    </row>
    <row r="284" spans="1:14" ht="60" x14ac:dyDescent="0.25">
      <c r="A284" s="19" t="s">
        <v>8368</v>
      </c>
      <c r="B284" s="17" t="s">
        <v>8367</v>
      </c>
      <c r="C284" s="20">
        <v>2</v>
      </c>
      <c r="D284" s="18">
        <v>69.5</v>
      </c>
      <c r="E284" s="20" t="s">
        <v>8364</v>
      </c>
      <c r="F284" s="17" t="s">
        <v>58</v>
      </c>
      <c r="G284" s="19" t="s">
        <v>351</v>
      </c>
      <c r="H284" s="18">
        <v>12.74</v>
      </c>
      <c r="I284" s="17" t="s">
        <v>267</v>
      </c>
      <c r="J284" s="17" t="s">
        <v>32</v>
      </c>
      <c r="K284" s="17"/>
      <c r="L284" s="17"/>
      <c r="M284" s="16" t="str">
        <f>HYPERLINK("http://slimages.macys.com/is/image/MCY/19320062 ")</f>
        <v xml:space="preserve">http://slimages.macys.com/is/image/MCY/19320062 </v>
      </c>
      <c r="N284" s="30"/>
    </row>
    <row r="285" spans="1:14" ht="60" x14ac:dyDescent="0.25">
      <c r="A285" s="19" t="s">
        <v>8366</v>
      </c>
      <c r="B285" s="17" t="s">
        <v>8365</v>
      </c>
      <c r="C285" s="20">
        <v>1</v>
      </c>
      <c r="D285" s="18">
        <v>69.5</v>
      </c>
      <c r="E285" s="20" t="s">
        <v>8364</v>
      </c>
      <c r="F285" s="17" t="s">
        <v>58</v>
      </c>
      <c r="G285" s="19" t="s">
        <v>139</v>
      </c>
      <c r="H285" s="18">
        <v>12.74</v>
      </c>
      <c r="I285" s="17" t="s">
        <v>267</v>
      </c>
      <c r="J285" s="17" t="s">
        <v>32</v>
      </c>
      <c r="K285" s="17"/>
      <c r="L285" s="17"/>
      <c r="M285" s="16" t="str">
        <f>HYPERLINK("http://slimages.macys.com/is/image/MCY/19320062 ")</f>
        <v xml:space="preserve">http://slimages.macys.com/is/image/MCY/19320062 </v>
      </c>
      <c r="N285" s="30"/>
    </row>
    <row r="286" spans="1:14" ht="60" x14ac:dyDescent="0.25">
      <c r="A286" s="19" t="s">
        <v>8363</v>
      </c>
      <c r="B286" s="17" t="s">
        <v>8362</v>
      </c>
      <c r="C286" s="20">
        <v>1</v>
      </c>
      <c r="D286" s="18">
        <v>69</v>
      </c>
      <c r="E286" s="20" t="s">
        <v>8361</v>
      </c>
      <c r="F286" s="17" t="s">
        <v>35</v>
      </c>
      <c r="G286" s="19" t="s">
        <v>69</v>
      </c>
      <c r="H286" s="18">
        <v>12.74</v>
      </c>
      <c r="I286" s="17" t="s">
        <v>405</v>
      </c>
      <c r="J286" s="17" t="s">
        <v>404</v>
      </c>
      <c r="K286" s="17" t="s">
        <v>389</v>
      </c>
      <c r="L286" s="17" t="s">
        <v>1359</v>
      </c>
      <c r="M286" s="16" t="str">
        <f>HYPERLINK("http://slimages.macys.com/is/image/MCY/16404326 ")</f>
        <v xml:space="preserve">http://slimages.macys.com/is/image/MCY/16404326 </v>
      </c>
      <c r="N286" s="30"/>
    </row>
    <row r="287" spans="1:14" ht="60" x14ac:dyDescent="0.25">
      <c r="A287" s="19" t="s">
        <v>8360</v>
      </c>
      <c r="B287" s="17" t="s">
        <v>8359</v>
      </c>
      <c r="C287" s="20">
        <v>1</v>
      </c>
      <c r="D287" s="18">
        <v>69.5</v>
      </c>
      <c r="E287" s="20" t="s">
        <v>8358</v>
      </c>
      <c r="F287" s="17" t="s">
        <v>51</v>
      </c>
      <c r="G287" s="19" t="s">
        <v>351</v>
      </c>
      <c r="H287" s="18">
        <v>12.74</v>
      </c>
      <c r="I287" s="17" t="s">
        <v>267</v>
      </c>
      <c r="J287" s="17" t="s">
        <v>32</v>
      </c>
      <c r="K287" s="17"/>
      <c r="L287" s="17"/>
      <c r="M287" s="16" t="str">
        <f>HYPERLINK("http://slimages.macys.com/is/image/MCY/19266654 ")</f>
        <v xml:space="preserve">http://slimages.macys.com/is/image/MCY/19266654 </v>
      </c>
      <c r="N287" s="30"/>
    </row>
    <row r="288" spans="1:14" ht="60" x14ac:dyDescent="0.25">
      <c r="A288" s="19" t="s">
        <v>8357</v>
      </c>
      <c r="B288" s="17" t="s">
        <v>8356</v>
      </c>
      <c r="C288" s="20">
        <v>1</v>
      </c>
      <c r="D288" s="18">
        <v>69</v>
      </c>
      <c r="E288" s="20" t="s">
        <v>7366</v>
      </c>
      <c r="F288" s="17" t="s">
        <v>558</v>
      </c>
      <c r="G288" s="19" t="s">
        <v>197</v>
      </c>
      <c r="H288" s="18">
        <v>12.74</v>
      </c>
      <c r="I288" s="17" t="s">
        <v>405</v>
      </c>
      <c r="J288" s="17" t="s">
        <v>404</v>
      </c>
      <c r="K288" s="17"/>
      <c r="L288" s="17"/>
      <c r="M288" s="16" t="str">
        <f>HYPERLINK("http://slimages.macys.com/is/image/MCY/18649665 ")</f>
        <v xml:space="preserve">http://slimages.macys.com/is/image/MCY/18649665 </v>
      </c>
      <c r="N288" s="30"/>
    </row>
    <row r="289" spans="1:14" ht="60" x14ac:dyDescent="0.25">
      <c r="A289" s="19" t="s">
        <v>8355</v>
      </c>
      <c r="B289" s="17" t="s">
        <v>8354</v>
      </c>
      <c r="C289" s="20">
        <v>1</v>
      </c>
      <c r="D289" s="18">
        <v>74</v>
      </c>
      <c r="E289" s="20" t="s">
        <v>8353</v>
      </c>
      <c r="F289" s="17" t="s">
        <v>282</v>
      </c>
      <c r="G289" s="19" t="s">
        <v>898</v>
      </c>
      <c r="H289" s="18">
        <v>12.666666666666666</v>
      </c>
      <c r="I289" s="17" t="s">
        <v>148</v>
      </c>
      <c r="J289" s="17" t="s">
        <v>409</v>
      </c>
      <c r="K289" s="17"/>
      <c r="L289" s="17"/>
      <c r="M289" s="16" t="str">
        <f>HYPERLINK("http://slimages.macys.com/is/image/MCY/18719385 ")</f>
        <v xml:space="preserve">http://slimages.macys.com/is/image/MCY/18719385 </v>
      </c>
      <c r="N289" s="30"/>
    </row>
    <row r="290" spans="1:14" ht="60" x14ac:dyDescent="0.25">
      <c r="A290" s="19" t="s">
        <v>8352</v>
      </c>
      <c r="B290" s="17" t="s">
        <v>8351</v>
      </c>
      <c r="C290" s="20">
        <v>1</v>
      </c>
      <c r="D290" s="18">
        <v>48.3</v>
      </c>
      <c r="E290" s="20" t="s">
        <v>1895</v>
      </c>
      <c r="F290" s="17" t="s">
        <v>263</v>
      </c>
      <c r="G290" s="19" t="s">
        <v>62</v>
      </c>
      <c r="H290" s="18">
        <v>12.6</v>
      </c>
      <c r="I290" s="17" t="s">
        <v>42</v>
      </c>
      <c r="J290" s="17" t="s">
        <v>41</v>
      </c>
      <c r="K290" s="17"/>
      <c r="L290" s="17"/>
      <c r="M290" s="16" t="str">
        <f>HYPERLINK("http://slimages.macys.com/is/image/MCY/19187460 ")</f>
        <v xml:space="preserve">http://slimages.macys.com/is/image/MCY/19187460 </v>
      </c>
      <c r="N290" s="30"/>
    </row>
    <row r="291" spans="1:14" ht="60" x14ac:dyDescent="0.25">
      <c r="A291" s="19" t="s">
        <v>8350</v>
      </c>
      <c r="B291" s="17" t="s">
        <v>8349</v>
      </c>
      <c r="C291" s="20">
        <v>1</v>
      </c>
      <c r="D291" s="18">
        <v>62.3</v>
      </c>
      <c r="E291" s="20" t="s">
        <v>8348</v>
      </c>
      <c r="F291" s="17" t="s">
        <v>58</v>
      </c>
      <c r="G291" s="19"/>
      <c r="H291" s="18">
        <v>12.6</v>
      </c>
      <c r="I291" s="17" t="s">
        <v>42</v>
      </c>
      <c r="J291" s="17" t="s">
        <v>41</v>
      </c>
      <c r="K291" s="17"/>
      <c r="L291" s="17"/>
      <c r="M291" s="16" t="str">
        <f>HYPERLINK("http://slimages.macys.com/is/image/MCY/19187549 ")</f>
        <v xml:space="preserve">http://slimages.macys.com/is/image/MCY/19187549 </v>
      </c>
      <c r="N291" s="30"/>
    </row>
    <row r="292" spans="1:14" ht="60" x14ac:dyDescent="0.25">
      <c r="A292" s="19" t="s">
        <v>8347</v>
      </c>
      <c r="B292" s="17" t="s">
        <v>8346</v>
      </c>
      <c r="C292" s="20">
        <v>1</v>
      </c>
      <c r="D292" s="18">
        <v>48.3</v>
      </c>
      <c r="E292" s="20" t="s">
        <v>5731</v>
      </c>
      <c r="F292" s="17" t="s">
        <v>51</v>
      </c>
      <c r="G292" s="19" t="s">
        <v>62</v>
      </c>
      <c r="H292" s="18">
        <v>12.6</v>
      </c>
      <c r="I292" s="17" t="s">
        <v>42</v>
      </c>
      <c r="J292" s="17" t="s">
        <v>41</v>
      </c>
      <c r="K292" s="17"/>
      <c r="L292" s="17"/>
      <c r="M292" s="16" t="str">
        <f>HYPERLINK("http://slimages.macys.com/is/image/MCY/19186999 ")</f>
        <v xml:space="preserve">http://slimages.macys.com/is/image/MCY/19186999 </v>
      </c>
      <c r="N292" s="30"/>
    </row>
    <row r="293" spans="1:14" ht="60" x14ac:dyDescent="0.25">
      <c r="A293" s="19" t="s">
        <v>8345</v>
      </c>
      <c r="B293" s="17" t="s">
        <v>8344</v>
      </c>
      <c r="C293" s="20">
        <v>1</v>
      </c>
      <c r="D293" s="18">
        <v>44.25</v>
      </c>
      <c r="E293" s="20">
        <v>10758742</v>
      </c>
      <c r="F293" s="17" t="s">
        <v>359</v>
      </c>
      <c r="G293" s="19" t="s">
        <v>271</v>
      </c>
      <c r="H293" s="18">
        <v>12.393333333333334</v>
      </c>
      <c r="I293" s="17" t="s">
        <v>358</v>
      </c>
      <c r="J293" s="17" t="s">
        <v>143</v>
      </c>
      <c r="K293" s="17"/>
      <c r="L293" s="17"/>
      <c r="M293" s="16" t="str">
        <f>HYPERLINK("http://slimages.macys.com/is/image/MCY/18301361 ")</f>
        <v xml:space="preserve">http://slimages.macys.com/is/image/MCY/18301361 </v>
      </c>
      <c r="N293" s="30"/>
    </row>
    <row r="294" spans="1:14" ht="60" x14ac:dyDescent="0.25">
      <c r="A294" s="19" t="s">
        <v>8343</v>
      </c>
      <c r="B294" s="17" t="s">
        <v>8342</v>
      </c>
      <c r="C294" s="20">
        <v>1</v>
      </c>
      <c r="D294" s="18">
        <v>59</v>
      </c>
      <c r="E294" s="20">
        <v>2331004</v>
      </c>
      <c r="F294" s="17" t="s">
        <v>124</v>
      </c>
      <c r="G294" s="19" t="s">
        <v>17</v>
      </c>
      <c r="H294" s="18">
        <v>12.333333333333334</v>
      </c>
      <c r="I294" s="17" t="s">
        <v>80</v>
      </c>
      <c r="J294" s="17" t="s">
        <v>293</v>
      </c>
      <c r="K294" s="17"/>
      <c r="L294" s="17"/>
      <c r="M294" s="16" t="str">
        <f>HYPERLINK("http://slimages.macys.com/is/image/MCY/19109837 ")</f>
        <v xml:space="preserve">http://slimages.macys.com/is/image/MCY/19109837 </v>
      </c>
      <c r="N294" s="30"/>
    </row>
    <row r="295" spans="1:14" ht="72" x14ac:dyDescent="0.25">
      <c r="A295" s="19" t="s">
        <v>7340</v>
      </c>
      <c r="B295" s="17" t="s">
        <v>7339</v>
      </c>
      <c r="C295" s="20">
        <v>1</v>
      </c>
      <c r="D295" s="18">
        <v>74</v>
      </c>
      <c r="E295" s="20">
        <v>7020031</v>
      </c>
      <c r="F295" s="17" t="s">
        <v>1526</v>
      </c>
      <c r="G295" s="19" t="s">
        <v>101</v>
      </c>
      <c r="H295" s="18">
        <v>12.333333333333334</v>
      </c>
      <c r="I295" s="17" t="s">
        <v>111</v>
      </c>
      <c r="J295" s="17" t="s">
        <v>110</v>
      </c>
      <c r="K295" s="17" t="s">
        <v>637</v>
      </c>
      <c r="L295" s="17" t="s">
        <v>4469</v>
      </c>
      <c r="M295" s="16" t="str">
        <f>HYPERLINK("http://images.bloomingdales.com/is/image/BLM/11543324 ")</f>
        <v xml:space="preserve">http://images.bloomingdales.com/is/image/BLM/11543324 </v>
      </c>
      <c r="N295" s="30"/>
    </row>
    <row r="296" spans="1:14" ht="60" x14ac:dyDescent="0.25">
      <c r="A296" s="19" t="s">
        <v>8341</v>
      </c>
      <c r="B296" s="17" t="s">
        <v>8340</v>
      </c>
      <c r="C296" s="20">
        <v>2</v>
      </c>
      <c r="D296" s="18">
        <v>59</v>
      </c>
      <c r="E296" s="20">
        <v>10804516</v>
      </c>
      <c r="F296" s="17" t="s">
        <v>359</v>
      </c>
      <c r="G296" s="19" t="s">
        <v>57</v>
      </c>
      <c r="H296" s="18">
        <v>12.193333333333333</v>
      </c>
      <c r="I296" s="17" t="s">
        <v>144</v>
      </c>
      <c r="J296" s="17" t="s">
        <v>143</v>
      </c>
      <c r="K296" s="17"/>
      <c r="L296" s="17"/>
      <c r="M296" s="16" t="str">
        <f>HYPERLINK("http://slimages.macys.com/is/image/MCY/19286545 ")</f>
        <v xml:space="preserve">http://slimages.macys.com/is/image/MCY/19286545 </v>
      </c>
      <c r="N296" s="30"/>
    </row>
    <row r="297" spans="1:14" ht="60" x14ac:dyDescent="0.25">
      <c r="A297" s="19" t="s">
        <v>1116</v>
      </c>
      <c r="B297" s="17" t="s">
        <v>1115</v>
      </c>
      <c r="C297" s="20">
        <v>1</v>
      </c>
      <c r="D297" s="18">
        <v>50</v>
      </c>
      <c r="E297" s="20" t="s">
        <v>1110</v>
      </c>
      <c r="F297" s="17" t="s">
        <v>51</v>
      </c>
      <c r="G297" s="19" t="s">
        <v>17</v>
      </c>
      <c r="H297" s="18">
        <v>12.093333333333334</v>
      </c>
      <c r="I297" s="17" t="s">
        <v>16</v>
      </c>
      <c r="J297" s="17" t="s">
        <v>15</v>
      </c>
      <c r="K297" s="17"/>
      <c r="L297" s="17"/>
      <c r="M297" s="16" t="str">
        <f>HYPERLINK("http://slimages.macys.com/is/image/MCY/18951803 ")</f>
        <v xml:space="preserve">http://slimages.macys.com/is/image/MCY/18951803 </v>
      </c>
      <c r="N297" s="30"/>
    </row>
    <row r="298" spans="1:14" ht="60" x14ac:dyDescent="0.25">
      <c r="A298" s="19" t="s">
        <v>8339</v>
      </c>
      <c r="B298" s="17" t="s">
        <v>8338</v>
      </c>
      <c r="C298" s="20">
        <v>1</v>
      </c>
      <c r="D298" s="18">
        <v>50</v>
      </c>
      <c r="E298" s="20" t="s">
        <v>1110</v>
      </c>
      <c r="F298" s="17" t="s">
        <v>51</v>
      </c>
      <c r="G298" s="19" t="s">
        <v>101</v>
      </c>
      <c r="H298" s="18">
        <v>12.093333333333334</v>
      </c>
      <c r="I298" s="17" t="s">
        <v>16</v>
      </c>
      <c r="J298" s="17" t="s">
        <v>15</v>
      </c>
      <c r="K298" s="17"/>
      <c r="L298" s="17"/>
      <c r="M298" s="16" t="str">
        <f>HYPERLINK("http://slimages.macys.com/is/image/MCY/18951803 ")</f>
        <v xml:space="preserve">http://slimages.macys.com/is/image/MCY/18951803 </v>
      </c>
      <c r="N298" s="30"/>
    </row>
    <row r="299" spans="1:14" ht="60" x14ac:dyDescent="0.25">
      <c r="A299" s="19" t="s">
        <v>5028</v>
      </c>
      <c r="B299" s="17" t="s">
        <v>5027</v>
      </c>
      <c r="C299" s="20">
        <v>4</v>
      </c>
      <c r="D299" s="18">
        <v>69</v>
      </c>
      <c r="E299" s="20">
        <v>2321805</v>
      </c>
      <c r="F299" s="17" t="s">
        <v>70</v>
      </c>
      <c r="G299" s="19" t="s">
        <v>50</v>
      </c>
      <c r="H299" s="18">
        <v>12</v>
      </c>
      <c r="I299" s="17" t="s">
        <v>80</v>
      </c>
      <c r="J299" s="17" t="s">
        <v>293</v>
      </c>
      <c r="K299" s="17"/>
      <c r="L299" s="17"/>
      <c r="M299" s="16" t="str">
        <f>HYPERLINK("http://slimages.macys.com/is/image/MCY/18749723 ")</f>
        <v xml:space="preserve">http://slimages.macys.com/is/image/MCY/18749723 </v>
      </c>
      <c r="N299" s="30"/>
    </row>
    <row r="300" spans="1:14" ht="60" x14ac:dyDescent="0.25">
      <c r="A300" s="19" t="s">
        <v>5026</v>
      </c>
      <c r="B300" s="17" t="s">
        <v>5025</v>
      </c>
      <c r="C300" s="20">
        <v>1</v>
      </c>
      <c r="D300" s="18">
        <v>69</v>
      </c>
      <c r="E300" s="20">
        <v>2321805</v>
      </c>
      <c r="F300" s="17" t="s">
        <v>70</v>
      </c>
      <c r="G300" s="19" t="s">
        <v>17</v>
      </c>
      <c r="H300" s="18">
        <v>12</v>
      </c>
      <c r="I300" s="17" t="s">
        <v>80</v>
      </c>
      <c r="J300" s="17" t="s">
        <v>293</v>
      </c>
      <c r="K300" s="17"/>
      <c r="L300" s="17"/>
      <c r="M300" s="16" t="str">
        <f>HYPERLINK("http://slimages.macys.com/is/image/MCY/18749723 ")</f>
        <v xml:space="preserve">http://slimages.macys.com/is/image/MCY/18749723 </v>
      </c>
      <c r="N300" s="30"/>
    </row>
    <row r="301" spans="1:14" ht="60" x14ac:dyDescent="0.25">
      <c r="A301" s="19" t="s">
        <v>8337</v>
      </c>
      <c r="B301" s="17" t="s">
        <v>8336</v>
      </c>
      <c r="C301" s="20">
        <v>1</v>
      </c>
      <c r="D301" s="18">
        <v>79</v>
      </c>
      <c r="E301" s="20">
        <v>2331705</v>
      </c>
      <c r="F301" s="17" t="s">
        <v>28</v>
      </c>
      <c r="G301" s="19" t="s">
        <v>62</v>
      </c>
      <c r="H301" s="18">
        <v>12</v>
      </c>
      <c r="I301" s="17" t="s">
        <v>80</v>
      </c>
      <c r="J301" s="17" t="s">
        <v>293</v>
      </c>
      <c r="K301" s="17"/>
      <c r="L301" s="17"/>
      <c r="M301" s="16" t="str">
        <f>HYPERLINK("http://slimages.macys.com/is/image/MCY/19109671 ")</f>
        <v xml:space="preserve">http://slimages.macys.com/is/image/MCY/19109671 </v>
      </c>
      <c r="N301" s="30"/>
    </row>
    <row r="302" spans="1:14" ht="60" x14ac:dyDescent="0.25">
      <c r="A302" s="19" t="s">
        <v>8335</v>
      </c>
      <c r="B302" s="17" t="s">
        <v>8334</v>
      </c>
      <c r="C302" s="20">
        <v>1</v>
      </c>
      <c r="D302" s="18">
        <v>79</v>
      </c>
      <c r="E302" s="20">
        <v>2331705</v>
      </c>
      <c r="F302" s="17" t="s">
        <v>1022</v>
      </c>
      <c r="G302" s="19" t="s">
        <v>22</v>
      </c>
      <c r="H302" s="18">
        <v>12</v>
      </c>
      <c r="I302" s="17" t="s">
        <v>80</v>
      </c>
      <c r="J302" s="17" t="s">
        <v>293</v>
      </c>
      <c r="K302" s="17"/>
      <c r="L302" s="17"/>
      <c r="M302" s="16" t="str">
        <f>HYPERLINK("http://slimages.macys.com/is/image/MCY/19109671 ")</f>
        <v xml:space="preserve">http://slimages.macys.com/is/image/MCY/19109671 </v>
      </c>
      <c r="N302" s="30"/>
    </row>
    <row r="303" spans="1:14" ht="60" x14ac:dyDescent="0.25">
      <c r="A303" s="19" t="s">
        <v>8333</v>
      </c>
      <c r="B303" s="17" t="s">
        <v>8332</v>
      </c>
      <c r="C303" s="20">
        <v>1</v>
      </c>
      <c r="D303" s="18">
        <v>59</v>
      </c>
      <c r="E303" s="20" t="s">
        <v>8331</v>
      </c>
      <c r="F303" s="17" t="s">
        <v>23</v>
      </c>
      <c r="G303" s="19" t="s">
        <v>62</v>
      </c>
      <c r="H303" s="18">
        <v>11.8</v>
      </c>
      <c r="I303" s="17" t="s">
        <v>678</v>
      </c>
      <c r="J303" s="17" t="s">
        <v>404</v>
      </c>
      <c r="K303" s="17"/>
      <c r="L303" s="17"/>
      <c r="M303" s="16" t="str">
        <f>HYPERLINK("http://slimages.macys.com/is/image/MCY/19287764 ")</f>
        <v xml:space="preserve">http://slimages.macys.com/is/image/MCY/19287764 </v>
      </c>
      <c r="N303" s="30"/>
    </row>
    <row r="304" spans="1:14" ht="60" x14ac:dyDescent="0.25">
      <c r="A304" s="19" t="s">
        <v>8330</v>
      </c>
      <c r="B304" s="17" t="s">
        <v>8329</v>
      </c>
      <c r="C304" s="20">
        <v>1</v>
      </c>
      <c r="D304" s="18">
        <v>59</v>
      </c>
      <c r="E304" s="20">
        <v>10798838</v>
      </c>
      <c r="F304" s="17" t="s">
        <v>149</v>
      </c>
      <c r="G304" s="19" t="s">
        <v>351</v>
      </c>
      <c r="H304" s="18">
        <v>11.8</v>
      </c>
      <c r="I304" s="17" t="s">
        <v>358</v>
      </c>
      <c r="J304" s="17" t="s">
        <v>554</v>
      </c>
      <c r="K304" s="17"/>
      <c r="L304" s="17"/>
      <c r="M304" s="16" t="str">
        <f>HYPERLINK("http://slimages.macys.com/is/image/MCY/18580767 ")</f>
        <v xml:space="preserve">http://slimages.macys.com/is/image/MCY/18580767 </v>
      </c>
      <c r="N304" s="30"/>
    </row>
    <row r="305" spans="1:14" ht="60" x14ac:dyDescent="0.25">
      <c r="A305" s="19" t="s">
        <v>5705</v>
      </c>
      <c r="B305" s="17" t="s">
        <v>5704</v>
      </c>
      <c r="C305" s="20">
        <v>1</v>
      </c>
      <c r="D305" s="18">
        <v>59</v>
      </c>
      <c r="E305" s="20">
        <v>10799158</v>
      </c>
      <c r="F305" s="17" t="s">
        <v>140</v>
      </c>
      <c r="G305" s="19" t="s">
        <v>271</v>
      </c>
      <c r="H305" s="18">
        <v>11.8</v>
      </c>
      <c r="I305" s="17" t="s">
        <v>358</v>
      </c>
      <c r="J305" s="17" t="s">
        <v>554</v>
      </c>
      <c r="K305" s="17"/>
      <c r="L305" s="17"/>
      <c r="M305" s="16" t="str">
        <f>HYPERLINK("http://slimages.macys.com/is/image/MCY/18520659 ")</f>
        <v xml:space="preserve">http://slimages.macys.com/is/image/MCY/18520659 </v>
      </c>
      <c r="N305" s="30"/>
    </row>
    <row r="306" spans="1:14" ht="60" x14ac:dyDescent="0.25">
      <c r="A306" s="19" t="s">
        <v>8328</v>
      </c>
      <c r="B306" s="17" t="s">
        <v>8327</v>
      </c>
      <c r="C306" s="20">
        <v>1</v>
      </c>
      <c r="D306" s="18">
        <v>50</v>
      </c>
      <c r="E306" s="20" t="s">
        <v>8326</v>
      </c>
      <c r="F306" s="17" t="s">
        <v>28</v>
      </c>
      <c r="G306" s="19" t="s">
        <v>62</v>
      </c>
      <c r="H306" s="18">
        <v>11.666666666666668</v>
      </c>
      <c r="I306" s="17" t="s">
        <v>80</v>
      </c>
      <c r="J306" s="17" t="s">
        <v>187</v>
      </c>
      <c r="K306" s="17"/>
      <c r="L306" s="17"/>
      <c r="M306" s="16" t="str">
        <f>HYPERLINK("http://slimages.macys.com/is/image/MCY/18899835 ")</f>
        <v xml:space="preserve">http://slimages.macys.com/is/image/MCY/18899835 </v>
      </c>
      <c r="N306" s="30"/>
    </row>
    <row r="307" spans="1:14" ht="60" x14ac:dyDescent="0.25">
      <c r="A307" s="19" t="s">
        <v>8325</v>
      </c>
      <c r="B307" s="17" t="s">
        <v>8324</v>
      </c>
      <c r="C307" s="20">
        <v>1</v>
      </c>
      <c r="D307" s="18">
        <v>79</v>
      </c>
      <c r="E307" s="20">
        <v>2331929</v>
      </c>
      <c r="F307" s="17" t="s">
        <v>23</v>
      </c>
      <c r="G307" s="19" t="s">
        <v>17</v>
      </c>
      <c r="H307" s="18">
        <v>11.6</v>
      </c>
      <c r="I307" s="17" t="s">
        <v>80</v>
      </c>
      <c r="J307" s="17" t="s">
        <v>293</v>
      </c>
      <c r="K307" s="17"/>
      <c r="L307" s="17"/>
      <c r="M307" s="16" t="str">
        <f>HYPERLINK("http://slimages.macys.com/is/image/MCY/19455545 ")</f>
        <v xml:space="preserve">http://slimages.macys.com/is/image/MCY/19455545 </v>
      </c>
      <c r="N307" s="30"/>
    </row>
    <row r="308" spans="1:14" ht="60" x14ac:dyDescent="0.25">
      <c r="A308" s="19" t="s">
        <v>8323</v>
      </c>
      <c r="B308" s="17" t="s">
        <v>8322</v>
      </c>
      <c r="C308" s="20">
        <v>1</v>
      </c>
      <c r="D308" s="18">
        <v>45</v>
      </c>
      <c r="E308" s="20" t="s">
        <v>3535</v>
      </c>
      <c r="F308" s="17" t="s">
        <v>51</v>
      </c>
      <c r="G308" s="19" t="s">
        <v>101</v>
      </c>
      <c r="H308" s="18">
        <v>11.52</v>
      </c>
      <c r="I308" s="17" t="s">
        <v>16</v>
      </c>
      <c r="J308" s="17" t="s">
        <v>15</v>
      </c>
      <c r="K308" s="17"/>
      <c r="L308" s="17"/>
      <c r="M308" s="16" t="str">
        <f>HYPERLINK("http://slimages.macys.com/is/image/MCY/19043645 ")</f>
        <v xml:space="preserve">http://slimages.macys.com/is/image/MCY/19043645 </v>
      </c>
      <c r="N308" s="30"/>
    </row>
    <row r="309" spans="1:14" ht="60" x14ac:dyDescent="0.25">
      <c r="A309" s="19" t="s">
        <v>8321</v>
      </c>
      <c r="B309" s="17" t="s">
        <v>8320</v>
      </c>
      <c r="C309" s="20">
        <v>1</v>
      </c>
      <c r="D309" s="18">
        <v>69</v>
      </c>
      <c r="E309" s="20">
        <v>7021109</v>
      </c>
      <c r="F309" s="17" t="s">
        <v>91</v>
      </c>
      <c r="G309" s="19" t="s">
        <v>22</v>
      </c>
      <c r="H309" s="18">
        <v>11.500000000000002</v>
      </c>
      <c r="I309" s="17" t="s">
        <v>111</v>
      </c>
      <c r="J309" s="17" t="s">
        <v>110</v>
      </c>
      <c r="K309" s="17"/>
      <c r="L309" s="17"/>
      <c r="M309" s="16" t="str">
        <f>HYPERLINK("http://slimages.macys.com/is/image/MCY/19017599 ")</f>
        <v xml:space="preserve">http://slimages.macys.com/is/image/MCY/19017599 </v>
      </c>
      <c r="N309" s="30"/>
    </row>
    <row r="310" spans="1:14" ht="60" x14ac:dyDescent="0.25">
      <c r="A310" s="19" t="s">
        <v>8319</v>
      </c>
      <c r="B310" s="17" t="s">
        <v>8318</v>
      </c>
      <c r="C310" s="20">
        <v>1</v>
      </c>
      <c r="D310" s="18">
        <v>69</v>
      </c>
      <c r="E310" s="20">
        <v>7099063</v>
      </c>
      <c r="F310" s="17" t="s">
        <v>558</v>
      </c>
      <c r="G310" s="19" t="s">
        <v>101</v>
      </c>
      <c r="H310" s="18">
        <v>11.500000000000002</v>
      </c>
      <c r="I310" s="17" t="s">
        <v>111</v>
      </c>
      <c r="J310" s="17" t="s">
        <v>110</v>
      </c>
      <c r="K310" s="17"/>
      <c r="L310" s="17"/>
      <c r="M310" s="16" t="str">
        <f>HYPERLINK("http://slimages.macys.com/is/image/MCY/18954048 ")</f>
        <v xml:space="preserve">http://slimages.macys.com/is/image/MCY/18954048 </v>
      </c>
      <c r="N310" s="30"/>
    </row>
    <row r="311" spans="1:14" ht="60" x14ac:dyDescent="0.25">
      <c r="A311" s="19" t="s">
        <v>8317</v>
      </c>
      <c r="B311" s="17" t="s">
        <v>8316</v>
      </c>
      <c r="C311" s="20">
        <v>1</v>
      </c>
      <c r="D311" s="18">
        <v>69</v>
      </c>
      <c r="E311" s="20">
        <v>10797218</v>
      </c>
      <c r="F311" s="17" t="s">
        <v>51</v>
      </c>
      <c r="G311" s="19" t="s">
        <v>139</v>
      </c>
      <c r="H311" s="18">
        <v>11.500000000000002</v>
      </c>
      <c r="I311" s="17" t="s">
        <v>1307</v>
      </c>
      <c r="J311" s="17" t="s">
        <v>1306</v>
      </c>
      <c r="K311" s="17"/>
      <c r="L311" s="17"/>
      <c r="M311" s="16" t="str">
        <f>HYPERLINK("http://slimages.macys.com/is/image/MCY/18493105 ")</f>
        <v xml:space="preserve">http://slimages.macys.com/is/image/MCY/18493105 </v>
      </c>
      <c r="N311" s="30"/>
    </row>
    <row r="312" spans="1:14" ht="60" x14ac:dyDescent="0.25">
      <c r="A312" s="19" t="s">
        <v>8315</v>
      </c>
      <c r="B312" s="17" t="s">
        <v>8314</v>
      </c>
      <c r="C312" s="20">
        <v>1</v>
      </c>
      <c r="D312" s="18">
        <v>69</v>
      </c>
      <c r="E312" s="20">
        <v>8150134</v>
      </c>
      <c r="F312" s="17" t="s">
        <v>931</v>
      </c>
      <c r="G312" s="19" t="s">
        <v>101</v>
      </c>
      <c r="H312" s="18">
        <v>11.500000000000002</v>
      </c>
      <c r="I312" s="17" t="s">
        <v>129</v>
      </c>
      <c r="J312" s="17" t="s">
        <v>128</v>
      </c>
      <c r="K312" s="17"/>
      <c r="L312" s="17"/>
      <c r="M312" s="16" t="str">
        <f>HYPERLINK("http://slimages.macys.com/is/image/MCY/18608449 ")</f>
        <v xml:space="preserve">http://slimages.macys.com/is/image/MCY/18608449 </v>
      </c>
      <c r="N312" s="30"/>
    </row>
    <row r="313" spans="1:14" ht="60" x14ac:dyDescent="0.25">
      <c r="A313" s="19" t="s">
        <v>8313</v>
      </c>
      <c r="B313" s="17" t="s">
        <v>8312</v>
      </c>
      <c r="C313" s="20">
        <v>1</v>
      </c>
      <c r="D313" s="18">
        <v>69</v>
      </c>
      <c r="E313" s="20">
        <v>7021099</v>
      </c>
      <c r="F313" s="17" t="s">
        <v>558</v>
      </c>
      <c r="G313" s="19" t="s">
        <v>22</v>
      </c>
      <c r="H313" s="18">
        <v>11.500000000000002</v>
      </c>
      <c r="I313" s="17" t="s">
        <v>111</v>
      </c>
      <c r="J313" s="17" t="s">
        <v>110</v>
      </c>
      <c r="K313" s="17"/>
      <c r="L313" s="17"/>
      <c r="M313" s="16" t="str">
        <f>HYPERLINK("http://slimages.macys.com/is/image/MCY/19073428 ")</f>
        <v xml:space="preserve">http://slimages.macys.com/is/image/MCY/19073428 </v>
      </c>
      <c r="N313" s="30"/>
    </row>
    <row r="314" spans="1:14" ht="60" x14ac:dyDescent="0.25">
      <c r="A314" s="19" t="s">
        <v>8311</v>
      </c>
      <c r="B314" s="17" t="s">
        <v>8310</v>
      </c>
      <c r="C314" s="20">
        <v>1</v>
      </c>
      <c r="D314" s="18">
        <v>69</v>
      </c>
      <c r="E314" s="20">
        <v>2321711</v>
      </c>
      <c r="F314" s="17" t="s">
        <v>575</v>
      </c>
      <c r="G314" s="19" t="s">
        <v>22</v>
      </c>
      <c r="H314" s="18">
        <v>11.253333333333334</v>
      </c>
      <c r="I314" s="17" t="s">
        <v>80</v>
      </c>
      <c r="J314" s="17" t="s">
        <v>293</v>
      </c>
      <c r="K314" s="17"/>
      <c r="L314" s="17"/>
      <c r="M314" s="16" t="str">
        <f>HYPERLINK("http://slimages.macys.com/is/image/MCY/18947485 ")</f>
        <v xml:space="preserve">http://slimages.macys.com/is/image/MCY/18947485 </v>
      </c>
      <c r="N314" s="30"/>
    </row>
    <row r="315" spans="1:14" ht="60" x14ac:dyDescent="0.25">
      <c r="A315" s="19" t="s">
        <v>8309</v>
      </c>
      <c r="B315" s="17" t="s">
        <v>8308</v>
      </c>
      <c r="C315" s="20">
        <v>2</v>
      </c>
      <c r="D315" s="18">
        <v>69</v>
      </c>
      <c r="E315" s="20">
        <v>2321711</v>
      </c>
      <c r="F315" s="17" t="s">
        <v>575</v>
      </c>
      <c r="G315" s="19" t="s">
        <v>101</v>
      </c>
      <c r="H315" s="18">
        <v>11.253333333333334</v>
      </c>
      <c r="I315" s="17" t="s">
        <v>80</v>
      </c>
      <c r="J315" s="17" t="s">
        <v>293</v>
      </c>
      <c r="K315" s="17"/>
      <c r="L315" s="17"/>
      <c r="M315" s="16" t="str">
        <f>HYPERLINK("http://slimages.macys.com/is/image/MCY/18947485 ")</f>
        <v xml:space="preserve">http://slimages.macys.com/is/image/MCY/18947485 </v>
      </c>
      <c r="N315" s="30"/>
    </row>
    <row r="316" spans="1:14" ht="60" x14ac:dyDescent="0.25">
      <c r="A316" s="19" t="s">
        <v>8307</v>
      </c>
      <c r="B316" s="17" t="s">
        <v>8306</v>
      </c>
      <c r="C316" s="20">
        <v>1</v>
      </c>
      <c r="D316" s="18">
        <v>69</v>
      </c>
      <c r="E316" s="20">
        <v>2321711</v>
      </c>
      <c r="F316" s="17" t="s">
        <v>575</v>
      </c>
      <c r="G316" s="19" t="s">
        <v>62</v>
      </c>
      <c r="H316" s="18">
        <v>11.253333333333334</v>
      </c>
      <c r="I316" s="17" t="s">
        <v>80</v>
      </c>
      <c r="J316" s="17" t="s">
        <v>293</v>
      </c>
      <c r="K316" s="17"/>
      <c r="L316" s="17"/>
      <c r="M316" s="16" t="str">
        <f>HYPERLINK("http://slimages.macys.com/is/image/MCY/18947485 ")</f>
        <v xml:space="preserve">http://slimages.macys.com/is/image/MCY/18947485 </v>
      </c>
      <c r="N316" s="30"/>
    </row>
    <row r="317" spans="1:14" ht="60" x14ac:dyDescent="0.25">
      <c r="A317" s="19" t="s">
        <v>8305</v>
      </c>
      <c r="B317" s="17" t="s">
        <v>8304</v>
      </c>
      <c r="C317" s="20">
        <v>1</v>
      </c>
      <c r="D317" s="18">
        <v>59.5</v>
      </c>
      <c r="E317" s="20" t="s">
        <v>2642</v>
      </c>
      <c r="F317" s="17" t="s">
        <v>206</v>
      </c>
      <c r="G317" s="19" t="s">
        <v>69</v>
      </c>
      <c r="H317" s="18">
        <v>11.206666666666667</v>
      </c>
      <c r="I317" s="17" t="s">
        <v>56</v>
      </c>
      <c r="J317" s="17" t="s">
        <v>55</v>
      </c>
      <c r="K317" s="17"/>
      <c r="L317" s="17"/>
      <c r="M317" s="16" t="str">
        <f>HYPERLINK("http://slimages.macys.com/is/image/MCY/19019909 ")</f>
        <v xml:space="preserve">http://slimages.macys.com/is/image/MCY/19019909 </v>
      </c>
      <c r="N317" s="30"/>
    </row>
    <row r="318" spans="1:14" ht="60" x14ac:dyDescent="0.25">
      <c r="A318" s="19" t="s">
        <v>8303</v>
      </c>
      <c r="B318" s="17" t="s">
        <v>8302</v>
      </c>
      <c r="C318" s="20">
        <v>1</v>
      </c>
      <c r="D318" s="18">
        <v>59.5</v>
      </c>
      <c r="E318" s="20" t="s">
        <v>2642</v>
      </c>
      <c r="F318" s="17" t="s">
        <v>206</v>
      </c>
      <c r="G318" s="19" t="s">
        <v>62</v>
      </c>
      <c r="H318" s="18">
        <v>11.206666666666667</v>
      </c>
      <c r="I318" s="17" t="s">
        <v>56</v>
      </c>
      <c r="J318" s="17" t="s">
        <v>55</v>
      </c>
      <c r="K318" s="17"/>
      <c r="L318" s="17"/>
      <c r="M318" s="16" t="str">
        <f>HYPERLINK("http://slimages.macys.com/is/image/MCY/19019909 ")</f>
        <v xml:space="preserve">http://slimages.macys.com/is/image/MCY/19019909 </v>
      </c>
      <c r="N318" s="30"/>
    </row>
    <row r="319" spans="1:14" ht="60" x14ac:dyDescent="0.25">
      <c r="A319" s="19" t="s">
        <v>8301</v>
      </c>
      <c r="B319" s="17" t="s">
        <v>8300</v>
      </c>
      <c r="C319" s="20">
        <v>1</v>
      </c>
      <c r="D319" s="18">
        <v>59.5</v>
      </c>
      <c r="E319" s="20" t="s">
        <v>2642</v>
      </c>
      <c r="F319" s="17" t="s">
        <v>390</v>
      </c>
      <c r="G319" s="19" t="s">
        <v>197</v>
      </c>
      <c r="H319" s="18">
        <v>11.206666666666667</v>
      </c>
      <c r="I319" s="17" t="s">
        <v>56</v>
      </c>
      <c r="J319" s="17" t="s">
        <v>55</v>
      </c>
      <c r="K319" s="17"/>
      <c r="L319" s="17"/>
      <c r="M319" s="16" t="str">
        <f>HYPERLINK("http://slimages.macys.com/is/image/MCY/19019912 ")</f>
        <v xml:space="preserve">http://slimages.macys.com/is/image/MCY/19019912 </v>
      </c>
      <c r="N319" s="30"/>
    </row>
    <row r="320" spans="1:14" ht="60" x14ac:dyDescent="0.25">
      <c r="A320" s="19" t="s">
        <v>8299</v>
      </c>
      <c r="B320" s="17" t="s">
        <v>8298</v>
      </c>
      <c r="C320" s="20">
        <v>1</v>
      </c>
      <c r="D320" s="18">
        <v>59.5</v>
      </c>
      <c r="E320" s="20" t="s">
        <v>8297</v>
      </c>
      <c r="F320" s="17" t="s">
        <v>1536</v>
      </c>
      <c r="G320" s="19" t="s">
        <v>69</v>
      </c>
      <c r="H320" s="18">
        <v>11.206666666666667</v>
      </c>
      <c r="I320" s="17" t="s">
        <v>68</v>
      </c>
      <c r="J320" s="17" t="s">
        <v>67</v>
      </c>
      <c r="K320" s="17"/>
      <c r="L320" s="17"/>
      <c r="M320" s="16" t="str">
        <f>HYPERLINK("http://slimages.macys.com/is/image/MCY/18706224 ")</f>
        <v xml:space="preserve">http://slimages.macys.com/is/image/MCY/18706224 </v>
      </c>
      <c r="N320" s="30"/>
    </row>
    <row r="321" spans="1:14" ht="60" x14ac:dyDescent="0.25">
      <c r="A321" s="19" t="s">
        <v>8296</v>
      </c>
      <c r="B321" s="17" t="s">
        <v>8295</v>
      </c>
      <c r="C321" s="20">
        <v>2</v>
      </c>
      <c r="D321" s="18">
        <v>59.5</v>
      </c>
      <c r="E321" s="20" t="s">
        <v>2642</v>
      </c>
      <c r="F321" s="17" t="s">
        <v>390</v>
      </c>
      <c r="G321" s="19" t="s">
        <v>69</v>
      </c>
      <c r="H321" s="18">
        <v>11.206666666666667</v>
      </c>
      <c r="I321" s="17" t="s">
        <v>56</v>
      </c>
      <c r="J321" s="17" t="s">
        <v>55</v>
      </c>
      <c r="K321" s="17"/>
      <c r="L321" s="17"/>
      <c r="M321" s="16" t="str">
        <f>HYPERLINK("http://slimages.macys.com/is/image/MCY/19019912 ")</f>
        <v xml:space="preserve">http://slimages.macys.com/is/image/MCY/19019912 </v>
      </c>
      <c r="N321" s="30"/>
    </row>
    <row r="322" spans="1:14" ht="60" x14ac:dyDescent="0.25">
      <c r="A322" s="19" t="s">
        <v>7302</v>
      </c>
      <c r="B322" s="17" t="s">
        <v>7301</v>
      </c>
      <c r="C322" s="20">
        <v>2</v>
      </c>
      <c r="D322" s="18">
        <v>59.5</v>
      </c>
      <c r="E322" s="20" t="s">
        <v>4348</v>
      </c>
      <c r="F322" s="17" t="s">
        <v>58</v>
      </c>
      <c r="G322" s="19" t="s">
        <v>69</v>
      </c>
      <c r="H322" s="18">
        <v>11.206666666666667</v>
      </c>
      <c r="I322" s="17" t="s">
        <v>56</v>
      </c>
      <c r="J322" s="17" t="s">
        <v>55</v>
      </c>
      <c r="K322" s="17"/>
      <c r="L322" s="17"/>
      <c r="M322" s="16" t="str">
        <f>HYPERLINK("http://slimages.macys.com/is/image/MCY/19184973 ")</f>
        <v xml:space="preserve">http://slimages.macys.com/is/image/MCY/19184973 </v>
      </c>
      <c r="N322" s="30"/>
    </row>
    <row r="323" spans="1:14" ht="60" x14ac:dyDescent="0.25">
      <c r="A323" s="19" t="s">
        <v>8294</v>
      </c>
      <c r="B323" s="17" t="s">
        <v>8293</v>
      </c>
      <c r="C323" s="20">
        <v>1</v>
      </c>
      <c r="D323" s="18">
        <v>59.5</v>
      </c>
      <c r="E323" s="20" t="s">
        <v>8290</v>
      </c>
      <c r="F323" s="17" t="s">
        <v>58</v>
      </c>
      <c r="G323" s="19" t="s">
        <v>57</v>
      </c>
      <c r="H323" s="18">
        <v>11.206666666666667</v>
      </c>
      <c r="I323" s="17" t="s">
        <v>56</v>
      </c>
      <c r="J323" s="17" t="s">
        <v>55</v>
      </c>
      <c r="K323" s="17"/>
      <c r="L323" s="17"/>
      <c r="M323" s="16" t="str">
        <f>HYPERLINK("http://slimages.macys.com/is/image/MCY/19018528 ")</f>
        <v xml:space="preserve">http://slimages.macys.com/is/image/MCY/19018528 </v>
      </c>
      <c r="N323" s="30"/>
    </row>
    <row r="324" spans="1:14" ht="60" x14ac:dyDescent="0.25">
      <c r="A324" s="19" t="s">
        <v>8292</v>
      </c>
      <c r="B324" s="17" t="s">
        <v>8291</v>
      </c>
      <c r="C324" s="20">
        <v>1</v>
      </c>
      <c r="D324" s="18">
        <v>59.5</v>
      </c>
      <c r="E324" s="20" t="s">
        <v>8290</v>
      </c>
      <c r="F324" s="17" t="s">
        <v>390</v>
      </c>
      <c r="G324" s="19" t="s">
        <v>57</v>
      </c>
      <c r="H324" s="18">
        <v>11.206666666666667</v>
      </c>
      <c r="I324" s="17" t="s">
        <v>56</v>
      </c>
      <c r="J324" s="17" t="s">
        <v>55</v>
      </c>
      <c r="K324" s="17"/>
      <c r="L324" s="17"/>
      <c r="M324" s="16" t="str">
        <f>HYPERLINK("http://slimages.macys.com/is/image/MCY/19018528 ")</f>
        <v xml:space="preserve">http://slimages.macys.com/is/image/MCY/19018528 </v>
      </c>
      <c r="N324" s="30"/>
    </row>
    <row r="325" spans="1:14" ht="60" x14ac:dyDescent="0.25">
      <c r="A325" s="19" t="s">
        <v>6459</v>
      </c>
      <c r="B325" s="17" t="s">
        <v>6458</v>
      </c>
      <c r="C325" s="20">
        <v>4</v>
      </c>
      <c r="D325" s="18">
        <v>59.5</v>
      </c>
      <c r="E325" s="20" t="s">
        <v>368</v>
      </c>
      <c r="F325" s="17" t="s">
        <v>63</v>
      </c>
      <c r="G325" s="19" t="s">
        <v>69</v>
      </c>
      <c r="H325" s="18">
        <v>11.206666666666667</v>
      </c>
      <c r="I325" s="17" t="s">
        <v>56</v>
      </c>
      <c r="J325" s="17" t="s">
        <v>55</v>
      </c>
      <c r="K325" s="17"/>
      <c r="L325" s="17"/>
      <c r="M325" s="16" t="str">
        <f>HYPERLINK("http://slimages.macys.com/is/image/MCY/19019250 ")</f>
        <v xml:space="preserve">http://slimages.macys.com/is/image/MCY/19019250 </v>
      </c>
      <c r="N325" s="30"/>
    </row>
    <row r="326" spans="1:14" ht="60" x14ac:dyDescent="0.25">
      <c r="A326" s="19" t="s">
        <v>8289</v>
      </c>
      <c r="B326" s="17" t="s">
        <v>8288</v>
      </c>
      <c r="C326" s="20">
        <v>1</v>
      </c>
      <c r="D326" s="18">
        <v>59.5</v>
      </c>
      <c r="E326" s="20" t="s">
        <v>368</v>
      </c>
      <c r="F326" s="17" t="s">
        <v>58</v>
      </c>
      <c r="G326" s="19" t="s">
        <v>74</v>
      </c>
      <c r="H326" s="18">
        <v>11.206666666666667</v>
      </c>
      <c r="I326" s="17" t="s">
        <v>56</v>
      </c>
      <c r="J326" s="17" t="s">
        <v>55</v>
      </c>
      <c r="K326" s="17"/>
      <c r="L326" s="17"/>
      <c r="M326" s="16" t="str">
        <f>HYPERLINK("http://slimages.macys.com/is/image/MCY/19019239 ")</f>
        <v xml:space="preserve">http://slimages.macys.com/is/image/MCY/19019239 </v>
      </c>
      <c r="N326" s="30"/>
    </row>
    <row r="327" spans="1:14" ht="60" x14ac:dyDescent="0.25">
      <c r="A327" s="19" t="s">
        <v>8287</v>
      </c>
      <c r="B327" s="17" t="s">
        <v>8286</v>
      </c>
      <c r="C327" s="20">
        <v>1</v>
      </c>
      <c r="D327" s="18">
        <v>59.5</v>
      </c>
      <c r="E327" s="20" t="s">
        <v>8285</v>
      </c>
      <c r="F327" s="17" t="s">
        <v>85</v>
      </c>
      <c r="G327" s="19" t="s">
        <v>57</v>
      </c>
      <c r="H327" s="18">
        <v>11.206666666666667</v>
      </c>
      <c r="I327" s="17" t="s">
        <v>68</v>
      </c>
      <c r="J327" s="17" t="s">
        <v>67</v>
      </c>
      <c r="K327" s="17"/>
      <c r="L327" s="17"/>
      <c r="M327" s="16" t="str">
        <f>HYPERLINK("http://slimages.macys.com/is/image/MCY/18388338 ")</f>
        <v xml:space="preserve">http://slimages.macys.com/is/image/MCY/18388338 </v>
      </c>
      <c r="N327" s="30"/>
    </row>
    <row r="328" spans="1:14" ht="60" x14ac:dyDescent="0.25">
      <c r="A328" s="19" t="s">
        <v>8284</v>
      </c>
      <c r="B328" s="17" t="s">
        <v>8283</v>
      </c>
      <c r="C328" s="20">
        <v>1</v>
      </c>
      <c r="D328" s="18">
        <v>59.5</v>
      </c>
      <c r="E328" s="20" t="s">
        <v>5002</v>
      </c>
      <c r="F328" s="17" t="s">
        <v>58</v>
      </c>
      <c r="G328" s="19" t="s">
        <v>749</v>
      </c>
      <c r="H328" s="18">
        <v>11.206666666666667</v>
      </c>
      <c r="I328" s="17" t="s">
        <v>68</v>
      </c>
      <c r="J328" s="17" t="s">
        <v>67</v>
      </c>
      <c r="K328" s="17" t="s">
        <v>389</v>
      </c>
      <c r="L328" s="17" t="s">
        <v>1804</v>
      </c>
      <c r="M328" s="16" t="str">
        <f>HYPERLINK("http://slimages.macys.com/is/image/MCY/8286541 ")</f>
        <v xml:space="preserve">http://slimages.macys.com/is/image/MCY/8286541 </v>
      </c>
      <c r="N328" s="30"/>
    </row>
    <row r="329" spans="1:14" ht="60" x14ac:dyDescent="0.25">
      <c r="A329" s="19" t="s">
        <v>8282</v>
      </c>
      <c r="B329" s="17" t="s">
        <v>8281</v>
      </c>
      <c r="C329" s="20">
        <v>1</v>
      </c>
      <c r="D329" s="18">
        <v>59.5</v>
      </c>
      <c r="E329" s="20" t="s">
        <v>368</v>
      </c>
      <c r="F329" s="17" t="s">
        <v>51</v>
      </c>
      <c r="G329" s="19" t="s">
        <v>74</v>
      </c>
      <c r="H329" s="18">
        <v>11.206666666666667</v>
      </c>
      <c r="I329" s="17" t="s">
        <v>56</v>
      </c>
      <c r="J329" s="17" t="s">
        <v>55</v>
      </c>
      <c r="K329" s="17"/>
      <c r="L329" s="17"/>
      <c r="M329" s="16" t="str">
        <f>HYPERLINK("http://slimages.macys.com/is/image/MCY/19019239 ")</f>
        <v xml:space="preserve">http://slimages.macys.com/is/image/MCY/19019239 </v>
      </c>
      <c r="N329" s="30"/>
    </row>
    <row r="330" spans="1:14" ht="60" x14ac:dyDescent="0.25">
      <c r="A330" s="19" t="s">
        <v>7300</v>
      </c>
      <c r="B330" s="17" t="s">
        <v>7299</v>
      </c>
      <c r="C330" s="20">
        <v>1</v>
      </c>
      <c r="D330" s="18">
        <v>59.5</v>
      </c>
      <c r="E330" s="20" t="s">
        <v>7298</v>
      </c>
      <c r="F330" s="17" t="s">
        <v>51</v>
      </c>
      <c r="G330" s="19" t="s">
        <v>57</v>
      </c>
      <c r="H330" s="18">
        <v>11.206666666666667</v>
      </c>
      <c r="I330" s="17" t="s">
        <v>56</v>
      </c>
      <c r="J330" s="17" t="s">
        <v>55</v>
      </c>
      <c r="K330" s="17"/>
      <c r="L330" s="17"/>
      <c r="M330" s="16" t="str">
        <f>HYPERLINK("http://slimages.macys.com/is/image/MCY/18863080 ")</f>
        <v xml:space="preserve">http://slimages.macys.com/is/image/MCY/18863080 </v>
      </c>
      <c r="N330" s="30"/>
    </row>
    <row r="331" spans="1:14" ht="60" x14ac:dyDescent="0.25">
      <c r="A331" s="19" t="s">
        <v>8280</v>
      </c>
      <c r="B331" s="17" t="s">
        <v>8279</v>
      </c>
      <c r="C331" s="20">
        <v>1</v>
      </c>
      <c r="D331" s="18">
        <v>59.5</v>
      </c>
      <c r="E331" s="20" t="s">
        <v>8278</v>
      </c>
      <c r="F331" s="17" t="s">
        <v>216</v>
      </c>
      <c r="G331" s="19" t="s">
        <v>197</v>
      </c>
      <c r="H331" s="18">
        <v>11.2</v>
      </c>
      <c r="I331" s="17" t="s">
        <v>56</v>
      </c>
      <c r="J331" s="17" t="s">
        <v>55</v>
      </c>
      <c r="K331" s="17"/>
      <c r="L331" s="17"/>
      <c r="M331" s="16" t="str">
        <f>HYPERLINK("http://slimages.macys.com/is/image/MCY/18941607 ")</f>
        <v xml:space="preserve">http://slimages.macys.com/is/image/MCY/18941607 </v>
      </c>
      <c r="N331" s="30"/>
    </row>
    <row r="332" spans="1:14" ht="60" x14ac:dyDescent="0.25">
      <c r="A332" s="19" t="s">
        <v>8277</v>
      </c>
      <c r="B332" s="17" t="s">
        <v>8276</v>
      </c>
      <c r="C332" s="20">
        <v>1</v>
      </c>
      <c r="D332" s="18">
        <v>59.5</v>
      </c>
      <c r="E332" s="20" t="s">
        <v>4318</v>
      </c>
      <c r="F332" s="17" t="s">
        <v>91</v>
      </c>
      <c r="G332" s="19" t="s">
        <v>57</v>
      </c>
      <c r="H332" s="18">
        <v>11.180000000000001</v>
      </c>
      <c r="I332" s="17" t="s">
        <v>56</v>
      </c>
      <c r="J332" s="17" t="s">
        <v>55</v>
      </c>
      <c r="K332" s="17"/>
      <c r="L332" s="17"/>
      <c r="M332" s="16" t="str">
        <f>HYPERLINK("http://slimages.macys.com/is/image/MCY/18941713 ")</f>
        <v xml:space="preserve">http://slimages.macys.com/is/image/MCY/18941713 </v>
      </c>
      <c r="N332" s="30"/>
    </row>
    <row r="333" spans="1:14" ht="60" x14ac:dyDescent="0.25">
      <c r="A333" s="19" t="s">
        <v>8275</v>
      </c>
      <c r="B333" s="17" t="s">
        <v>8274</v>
      </c>
      <c r="C333" s="20">
        <v>1</v>
      </c>
      <c r="D333" s="18">
        <v>59.5</v>
      </c>
      <c r="E333" s="20">
        <v>30114371</v>
      </c>
      <c r="F333" s="17" t="s">
        <v>58</v>
      </c>
      <c r="G333" s="19" t="s">
        <v>419</v>
      </c>
      <c r="H333" s="18">
        <v>11.106666666666667</v>
      </c>
      <c r="I333" s="17" t="s">
        <v>80</v>
      </c>
      <c r="J333" s="17" t="s">
        <v>513</v>
      </c>
      <c r="K333" s="17"/>
      <c r="L333" s="17"/>
      <c r="M333" s="16" t="str">
        <f>HYPERLINK("http://slimages.macys.com/is/image/MCY/16911320 ")</f>
        <v xml:space="preserve">http://slimages.macys.com/is/image/MCY/16911320 </v>
      </c>
      <c r="N333" s="30"/>
    </row>
    <row r="334" spans="1:14" ht="60" x14ac:dyDescent="0.25">
      <c r="A334" s="19" t="s">
        <v>8273</v>
      </c>
      <c r="B334" s="17" t="s">
        <v>8272</v>
      </c>
      <c r="C334" s="20">
        <v>1</v>
      </c>
      <c r="D334" s="18">
        <v>59.5</v>
      </c>
      <c r="E334" s="20">
        <v>30097116</v>
      </c>
      <c r="F334" s="17" t="s">
        <v>51</v>
      </c>
      <c r="G334" s="19" t="s">
        <v>69</v>
      </c>
      <c r="H334" s="18">
        <v>11.106666666666667</v>
      </c>
      <c r="I334" s="17" t="s">
        <v>80</v>
      </c>
      <c r="J334" s="17" t="s">
        <v>513</v>
      </c>
      <c r="K334" s="17"/>
      <c r="L334" s="17"/>
      <c r="M334" s="16" t="str">
        <f>HYPERLINK("http://slimages.macys.com/is/image/MCY/18849033 ")</f>
        <v xml:space="preserve">http://slimages.macys.com/is/image/MCY/18849033 </v>
      </c>
      <c r="N334" s="30"/>
    </row>
    <row r="335" spans="1:14" ht="60" x14ac:dyDescent="0.25">
      <c r="A335" s="19" t="s">
        <v>8271</v>
      </c>
      <c r="B335" s="17" t="s">
        <v>8270</v>
      </c>
      <c r="C335" s="20">
        <v>1</v>
      </c>
      <c r="D335" s="18">
        <v>59</v>
      </c>
      <c r="E335" s="20" t="s">
        <v>8269</v>
      </c>
      <c r="F335" s="17" t="s">
        <v>237</v>
      </c>
      <c r="G335" s="19" t="s">
        <v>62</v>
      </c>
      <c r="H335" s="18">
        <v>11.026666666666667</v>
      </c>
      <c r="I335" s="17" t="s">
        <v>820</v>
      </c>
      <c r="J335" s="17" t="s">
        <v>67</v>
      </c>
      <c r="K335" s="17"/>
      <c r="L335" s="17"/>
      <c r="M335" s="16" t="str">
        <f>HYPERLINK("http://slimages.macys.com/is/image/MCY/19324752 ")</f>
        <v xml:space="preserve">http://slimages.macys.com/is/image/MCY/19324752 </v>
      </c>
      <c r="N335" s="30"/>
    </row>
    <row r="336" spans="1:14" ht="60" x14ac:dyDescent="0.25">
      <c r="A336" s="19" t="s">
        <v>8268</v>
      </c>
      <c r="B336" s="17" t="s">
        <v>8267</v>
      </c>
      <c r="C336" s="20">
        <v>1</v>
      </c>
      <c r="D336" s="18">
        <v>45</v>
      </c>
      <c r="E336" s="20" t="s">
        <v>7275</v>
      </c>
      <c r="F336" s="17" t="s">
        <v>51</v>
      </c>
      <c r="G336" s="19" t="s">
        <v>22</v>
      </c>
      <c r="H336" s="18">
        <v>10.953333333333333</v>
      </c>
      <c r="I336" s="17" t="s">
        <v>16</v>
      </c>
      <c r="J336" s="17" t="s">
        <v>15</v>
      </c>
      <c r="K336" s="17" t="s">
        <v>389</v>
      </c>
      <c r="L336" s="17" t="s">
        <v>1129</v>
      </c>
      <c r="M336" s="16" t="str">
        <f>HYPERLINK("http://slimages.macys.com/is/image/MCY/13638610 ")</f>
        <v xml:space="preserve">http://slimages.macys.com/is/image/MCY/13638610 </v>
      </c>
      <c r="N336" s="30"/>
    </row>
    <row r="337" spans="1:14" ht="60" x14ac:dyDescent="0.25">
      <c r="A337" s="19" t="s">
        <v>7271</v>
      </c>
      <c r="B337" s="17" t="s">
        <v>7270</v>
      </c>
      <c r="C337" s="20">
        <v>1</v>
      </c>
      <c r="D337" s="18">
        <v>59.5</v>
      </c>
      <c r="E337" s="20" t="s">
        <v>7267</v>
      </c>
      <c r="F337" s="17" t="s">
        <v>272</v>
      </c>
      <c r="G337" s="19" t="s">
        <v>139</v>
      </c>
      <c r="H337" s="18">
        <v>10.906666666666666</v>
      </c>
      <c r="I337" s="17" t="s">
        <v>267</v>
      </c>
      <c r="J337" s="17" t="s">
        <v>32</v>
      </c>
      <c r="K337" s="17"/>
      <c r="L337" s="17"/>
      <c r="M337" s="16" t="str">
        <f>HYPERLINK("http://slimages.macys.com/is/image/MCY/19044233 ")</f>
        <v xml:space="preserve">http://slimages.macys.com/is/image/MCY/19044233 </v>
      </c>
      <c r="N337" s="30"/>
    </row>
    <row r="338" spans="1:14" ht="60" x14ac:dyDescent="0.25">
      <c r="A338" s="19" t="s">
        <v>8266</v>
      </c>
      <c r="B338" s="17" t="s">
        <v>8265</v>
      </c>
      <c r="C338" s="20">
        <v>1</v>
      </c>
      <c r="D338" s="18">
        <v>59.5</v>
      </c>
      <c r="E338" s="20" t="s">
        <v>2631</v>
      </c>
      <c r="F338" s="17" t="s">
        <v>206</v>
      </c>
      <c r="G338" s="19" t="s">
        <v>139</v>
      </c>
      <c r="H338" s="18">
        <v>10.906666666666666</v>
      </c>
      <c r="I338" s="17" t="s">
        <v>267</v>
      </c>
      <c r="J338" s="17" t="s">
        <v>32</v>
      </c>
      <c r="K338" s="17"/>
      <c r="L338" s="17"/>
      <c r="M338" s="16" t="str">
        <f>HYPERLINK("http://slimages.macys.com/is/image/MCY/18747668 ")</f>
        <v xml:space="preserve">http://slimages.macys.com/is/image/MCY/18747668 </v>
      </c>
      <c r="N338" s="30"/>
    </row>
    <row r="339" spans="1:14" ht="60" x14ac:dyDescent="0.25">
      <c r="A339" s="19" t="s">
        <v>8264</v>
      </c>
      <c r="B339" s="17" t="s">
        <v>8263</v>
      </c>
      <c r="C339" s="20">
        <v>1</v>
      </c>
      <c r="D339" s="18">
        <v>49</v>
      </c>
      <c r="E339" s="20" t="s">
        <v>8262</v>
      </c>
      <c r="F339" s="17" t="s">
        <v>149</v>
      </c>
      <c r="G339" s="19" t="s">
        <v>22</v>
      </c>
      <c r="H339" s="18">
        <v>10.813333333333334</v>
      </c>
      <c r="I339" s="17" t="s">
        <v>49</v>
      </c>
      <c r="J339" s="17" t="s">
        <v>48</v>
      </c>
      <c r="K339" s="17"/>
      <c r="L339" s="17"/>
      <c r="M339" s="16" t="str">
        <f>HYPERLINK("http://slimages.macys.com/is/image/MCY/19177581 ")</f>
        <v xml:space="preserve">http://slimages.macys.com/is/image/MCY/19177581 </v>
      </c>
      <c r="N339" s="30"/>
    </row>
    <row r="340" spans="1:14" ht="60" x14ac:dyDescent="0.25">
      <c r="A340" s="19" t="s">
        <v>8261</v>
      </c>
      <c r="B340" s="17" t="s">
        <v>8260</v>
      </c>
      <c r="C340" s="20">
        <v>1</v>
      </c>
      <c r="D340" s="18">
        <v>49</v>
      </c>
      <c r="E340" s="20" t="s">
        <v>327</v>
      </c>
      <c r="F340" s="17" t="s">
        <v>85</v>
      </c>
      <c r="G340" s="19" t="s">
        <v>17</v>
      </c>
      <c r="H340" s="18">
        <v>10.813333333333334</v>
      </c>
      <c r="I340" s="17" t="s">
        <v>49</v>
      </c>
      <c r="J340" s="17" t="s">
        <v>48</v>
      </c>
      <c r="K340" s="17"/>
      <c r="L340" s="17"/>
      <c r="M340" s="16" t="str">
        <f>HYPERLINK("http://slimages.macys.com/is/image/MCY/18254944 ")</f>
        <v xml:space="preserve">http://slimages.macys.com/is/image/MCY/18254944 </v>
      </c>
      <c r="N340" s="30"/>
    </row>
    <row r="341" spans="1:14" ht="60" x14ac:dyDescent="0.25">
      <c r="A341" s="19" t="s">
        <v>8259</v>
      </c>
      <c r="B341" s="17" t="s">
        <v>8258</v>
      </c>
      <c r="C341" s="20">
        <v>1</v>
      </c>
      <c r="D341" s="18">
        <v>49</v>
      </c>
      <c r="E341" s="20" t="s">
        <v>7256</v>
      </c>
      <c r="F341" s="17" t="s">
        <v>1526</v>
      </c>
      <c r="G341" s="19" t="s">
        <v>22</v>
      </c>
      <c r="H341" s="18">
        <v>10.813333333333334</v>
      </c>
      <c r="I341" s="17" t="s">
        <v>49</v>
      </c>
      <c r="J341" s="17" t="s">
        <v>48</v>
      </c>
      <c r="K341" s="17"/>
      <c r="L341" s="17"/>
      <c r="M341" s="16" t="str">
        <f>HYPERLINK("http://slimages.macys.com/is/image/MCY/18749143 ")</f>
        <v xml:space="preserve">http://slimages.macys.com/is/image/MCY/18749143 </v>
      </c>
      <c r="N341" s="30"/>
    </row>
    <row r="342" spans="1:14" ht="60" x14ac:dyDescent="0.25">
      <c r="A342" s="19" t="s">
        <v>8257</v>
      </c>
      <c r="B342" s="17" t="s">
        <v>8256</v>
      </c>
      <c r="C342" s="20">
        <v>1</v>
      </c>
      <c r="D342" s="18">
        <v>49</v>
      </c>
      <c r="E342" s="20" t="s">
        <v>7256</v>
      </c>
      <c r="F342" s="17" t="s">
        <v>1526</v>
      </c>
      <c r="G342" s="19" t="s">
        <v>101</v>
      </c>
      <c r="H342" s="18">
        <v>10.813333333333334</v>
      </c>
      <c r="I342" s="17" t="s">
        <v>49</v>
      </c>
      <c r="J342" s="17" t="s">
        <v>48</v>
      </c>
      <c r="K342" s="17"/>
      <c r="L342" s="17"/>
      <c r="M342" s="16" t="str">
        <f>HYPERLINK("http://slimages.macys.com/is/image/MCY/18749143 ")</f>
        <v xml:space="preserve">http://slimages.macys.com/is/image/MCY/18749143 </v>
      </c>
      <c r="N342" s="30"/>
    </row>
    <row r="343" spans="1:14" ht="60" x14ac:dyDescent="0.25">
      <c r="A343" s="19" t="s">
        <v>8255</v>
      </c>
      <c r="B343" s="17" t="s">
        <v>8254</v>
      </c>
      <c r="C343" s="20">
        <v>1</v>
      </c>
      <c r="D343" s="18">
        <v>69</v>
      </c>
      <c r="E343" s="20">
        <v>2321711</v>
      </c>
      <c r="F343" s="17" t="s">
        <v>28</v>
      </c>
      <c r="G343" s="19" t="s">
        <v>313</v>
      </c>
      <c r="H343" s="18">
        <v>10.786666666666667</v>
      </c>
      <c r="I343" s="17" t="s">
        <v>80</v>
      </c>
      <c r="J343" s="17" t="s">
        <v>293</v>
      </c>
      <c r="K343" s="17"/>
      <c r="L343" s="17"/>
      <c r="M343" s="16" t="str">
        <f>HYPERLINK("http://slimages.macys.com/is/image/MCY/18947487 ")</f>
        <v xml:space="preserve">http://slimages.macys.com/is/image/MCY/18947487 </v>
      </c>
      <c r="N343" s="30"/>
    </row>
    <row r="344" spans="1:14" ht="60" x14ac:dyDescent="0.25">
      <c r="A344" s="19" t="s">
        <v>8253</v>
      </c>
      <c r="B344" s="17" t="s">
        <v>8252</v>
      </c>
      <c r="C344" s="20">
        <v>1</v>
      </c>
      <c r="D344" s="18">
        <v>69</v>
      </c>
      <c r="E344" s="20" t="s">
        <v>3438</v>
      </c>
      <c r="F344" s="17" t="s">
        <v>734</v>
      </c>
      <c r="G344" s="19" t="s">
        <v>96</v>
      </c>
      <c r="H344" s="18">
        <v>10.666666666666668</v>
      </c>
      <c r="I344" s="17" t="s">
        <v>148</v>
      </c>
      <c r="J344" s="17" t="s">
        <v>409</v>
      </c>
      <c r="K344" s="17"/>
      <c r="L344" s="17"/>
      <c r="M344" s="16" t="str">
        <f>HYPERLINK("http://slimages.macys.com/is/image/MCY/18719409 ")</f>
        <v xml:space="preserve">http://slimages.macys.com/is/image/MCY/18719409 </v>
      </c>
      <c r="N344" s="30"/>
    </row>
    <row r="345" spans="1:14" ht="60" x14ac:dyDescent="0.25">
      <c r="A345" s="19" t="s">
        <v>8251</v>
      </c>
      <c r="B345" s="17" t="s">
        <v>8250</v>
      </c>
      <c r="C345" s="20">
        <v>1</v>
      </c>
      <c r="D345" s="18">
        <v>69</v>
      </c>
      <c r="E345" s="20" t="s">
        <v>3438</v>
      </c>
      <c r="F345" s="17" t="s">
        <v>58</v>
      </c>
      <c r="G345" s="19" t="s">
        <v>698</v>
      </c>
      <c r="H345" s="18">
        <v>10.666666666666668</v>
      </c>
      <c r="I345" s="17" t="s">
        <v>148</v>
      </c>
      <c r="J345" s="17" t="s">
        <v>409</v>
      </c>
      <c r="K345" s="17"/>
      <c r="L345" s="17"/>
      <c r="M345" s="16" t="str">
        <f>HYPERLINK("http://slimages.macys.com/is/image/MCY/18719409 ")</f>
        <v xml:space="preserve">http://slimages.macys.com/is/image/MCY/18719409 </v>
      </c>
      <c r="N345" s="30"/>
    </row>
    <row r="346" spans="1:14" ht="60" x14ac:dyDescent="0.25">
      <c r="A346" s="19" t="s">
        <v>8249</v>
      </c>
      <c r="B346" s="17" t="s">
        <v>8248</v>
      </c>
      <c r="C346" s="20">
        <v>1</v>
      </c>
      <c r="D346" s="18">
        <v>59</v>
      </c>
      <c r="E346" s="20">
        <v>2321813</v>
      </c>
      <c r="F346" s="17" t="s">
        <v>23</v>
      </c>
      <c r="G346" s="19" t="s">
        <v>22</v>
      </c>
      <c r="H346" s="18">
        <v>10.666666666666668</v>
      </c>
      <c r="I346" s="17" t="s">
        <v>80</v>
      </c>
      <c r="J346" s="17" t="s">
        <v>293</v>
      </c>
      <c r="K346" s="17"/>
      <c r="L346" s="17"/>
      <c r="M346" s="16" t="str">
        <f>HYPERLINK("http://slimages.macys.com/is/image/MCY/18917311 ")</f>
        <v xml:space="preserve">http://slimages.macys.com/is/image/MCY/18917311 </v>
      </c>
      <c r="N346" s="30"/>
    </row>
    <row r="347" spans="1:14" ht="60" x14ac:dyDescent="0.25">
      <c r="A347" s="19" t="s">
        <v>8247</v>
      </c>
      <c r="B347" s="17" t="s">
        <v>8246</v>
      </c>
      <c r="C347" s="20">
        <v>1</v>
      </c>
      <c r="D347" s="18">
        <v>49.5</v>
      </c>
      <c r="E347" s="20" t="s">
        <v>3433</v>
      </c>
      <c r="F347" s="17" t="s">
        <v>330</v>
      </c>
      <c r="G347" s="19" t="s">
        <v>197</v>
      </c>
      <c r="H347" s="18">
        <v>10.5</v>
      </c>
      <c r="I347" s="17" t="s">
        <v>80</v>
      </c>
      <c r="J347" s="17" t="s">
        <v>531</v>
      </c>
      <c r="K347" s="17"/>
      <c r="L347" s="17"/>
      <c r="M347" s="16" t="str">
        <f>HYPERLINK("http://slimages.macys.com/is/image/MCY/18364454 ")</f>
        <v xml:space="preserve">http://slimages.macys.com/is/image/MCY/18364454 </v>
      </c>
      <c r="N347" s="30"/>
    </row>
    <row r="348" spans="1:14" ht="60" x14ac:dyDescent="0.25">
      <c r="A348" s="19" t="s">
        <v>8245</v>
      </c>
      <c r="B348" s="17" t="s">
        <v>8244</v>
      </c>
      <c r="C348" s="20">
        <v>1</v>
      </c>
      <c r="D348" s="18">
        <v>59</v>
      </c>
      <c r="E348" s="20" t="s">
        <v>8243</v>
      </c>
      <c r="F348" s="17" t="s">
        <v>28</v>
      </c>
      <c r="G348" s="19" t="s">
        <v>351</v>
      </c>
      <c r="H348" s="18">
        <v>10.333333333333334</v>
      </c>
      <c r="I348" s="17" t="s">
        <v>550</v>
      </c>
      <c r="J348" s="17" t="s">
        <v>4961</v>
      </c>
      <c r="K348" s="17"/>
      <c r="L348" s="17"/>
      <c r="M348" s="16" t="str">
        <f>HYPERLINK("http://slimages.macys.com/is/image/MCY/17975874 ")</f>
        <v xml:space="preserve">http://slimages.macys.com/is/image/MCY/17975874 </v>
      </c>
      <c r="N348" s="30"/>
    </row>
    <row r="349" spans="1:14" ht="60" x14ac:dyDescent="0.25">
      <c r="A349" s="19" t="s">
        <v>8242</v>
      </c>
      <c r="B349" s="17" t="s">
        <v>8241</v>
      </c>
      <c r="C349" s="20">
        <v>3</v>
      </c>
      <c r="D349" s="18">
        <v>54.5</v>
      </c>
      <c r="E349" s="20" t="s">
        <v>6403</v>
      </c>
      <c r="F349" s="17" t="s">
        <v>23</v>
      </c>
      <c r="G349" s="19" t="s">
        <v>271</v>
      </c>
      <c r="H349" s="18">
        <v>10.266666666666667</v>
      </c>
      <c r="I349" s="17" t="s">
        <v>1891</v>
      </c>
      <c r="J349" s="17" t="s">
        <v>67</v>
      </c>
      <c r="K349" s="17"/>
      <c r="L349" s="17"/>
      <c r="M349" s="16" t="str">
        <f>HYPERLINK("http://slimages.macys.com/is/image/MCY/18344888 ")</f>
        <v xml:space="preserve">http://slimages.macys.com/is/image/MCY/18344888 </v>
      </c>
      <c r="N349" s="30"/>
    </row>
    <row r="350" spans="1:14" ht="60" x14ac:dyDescent="0.25">
      <c r="A350" s="19" t="s">
        <v>8240</v>
      </c>
      <c r="B350" s="17" t="s">
        <v>8239</v>
      </c>
      <c r="C350" s="20">
        <v>1</v>
      </c>
      <c r="D350" s="18">
        <v>49.5</v>
      </c>
      <c r="E350" s="20" t="s">
        <v>1832</v>
      </c>
      <c r="F350" s="17" t="s">
        <v>562</v>
      </c>
      <c r="G350" s="19" t="s">
        <v>898</v>
      </c>
      <c r="H350" s="18">
        <v>10.266666666666667</v>
      </c>
      <c r="I350" s="17" t="s">
        <v>68</v>
      </c>
      <c r="J350" s="17" t="s">
        <v>67</v>
      </c>
      <c r="K350" s="17" t="s">
        <v>389</v>
      </c>
      <c r="L350" s="17" t="s">
        <v>1804</v>
      </c>
      <c r="M350" s="16" t="str">
        <f>HYPERLINK("http://slimages.macys.com/is/image/MCY/1929248 ")</f>
        <v xml:space="preserve">http://slimages.macys.com/is/image/MCY/1929248 </v>
      </c>
      <c r="N350" s="30"/>
    </row>
    <row r="351" spans="1:14" ht="60" x14ac:dyDescent="0.25">
      <c r="A351" s="19" t="s">
        <v>8238</v>
      </c>
      <c r="B351" s="17" t="s">
        <v>8237</v>
      </c>
      <c r="C351" s="20">
        <v>1</v>
      </c>
      <c r="D351" s="18">
        <v>49.5</v>
      </c>
      <c r="E351" s="20" t="s">
        <v>1832</v>
      </c>
      <c r="F351" s="17" t="s">
        <v>535</v>
      </c>
      <c r="G351" s="19" t="s">
        <v>682</v>
      </c>
      <c r="H351" s="18">
        <v>10.266666666666667</v>
      </c>
      <c r="I351" s="17" t="s">
        <v>68</v>
      </c>
      <c r="J351" s="17" t="s">
        <v>67</v>
      </c>
      <c r="K351" s="17" t="s">
        <v>389</v>
      </c>
      <c r="L351" s="17" t="s">
        <v>1804</v>
      </c>
      <c r="M351" s="16" t="str">
        <f>HYPERLINK("http://slimages.macys.com/is/image/MCY/1929248 ")</f>
        <v xml:space="preserve">http://slimages.macys.com/is/image/MCY/1929248 </v>
      </c>
      <c r="N351" s="30"/>
    </row>
    <row r="352" spans="1:14" ht="60" x14ac:dyDescent="0.25">
      <c r="A352" s="19" t="s">
        <v>6405</v>
      </c>
      <c r="B352" s="17" t="s">
        <v>6404</v>
      </c>
      <c r="C352" s="20">
        <v>1</v>
      </c>
      <c r="D352" s="18">
        <v>54.5</v>
      </c>
      <c r="E352" s="20" t="s">
        <v>6403</v>
      </c>
      <c r="F352" s="17" t="s">
        <v>23</v>
      </c>
      <c r="G352" s="19" t="s">
        <v>351</v>
      </c>
      <c r="H352" s="18">
        <v>10.266666666666667</v>
      </c>
      <c r="I352" s="17" t="s">
        <v>1891</v>
      </c>
      <c r="J352" s="17" t="s">
        <v>67</v>
      </c>
      <c r="K352" s="17"/>
      <c r="L352" s="17"/>
      <c r="M352" s="16" t="str">
        <f>HYPERLINK("http://slimages.macys.com/is/image/MCY/18344888 ")</f>
        <v xml:space="preserve">http://slimages.macys.com/is/image/MCY/18344888 </v>
      </c>
      <c r="N352" s="30"/>
    </row>
    <row r="353" spans="1:14" ht="60" x14ac:dyDescent="0.25">
      <c r="A353" s="19" t="s">
        <v>8236</v>
      </c>
      <c r="B353" s="17" t="s">
        <v>8235</v>
      </c>
      <c r="C353" s="20">
        <v>1</v>
      </c>
      <c r="D353" s="18">
        <v>49.5</v>
      </c>
      <c r="E353" s="20" t="s">
        <v>1832</v>
      </c>
      <c r="F353" s="17" t="s">
        <v>562</v>
      </c>
      <c r="G353" s="19" t="s">
        <v>96</v>
      </c>
      <c r="H353" s="18">
        <v>10.266666666666667</v>
      </c>
      <c r="I353" s="17" t="s">
        <v>68</v>
      </c>
      <c r="J353" s="17" t="s">
        <v>67</v>
      </c>
      <c r="K353" s="17" t="s">
        <v>389</v>
      </c>
      <c r="L353" s="17" t="s">
        <v>1804</v>
      </c>
      <c r="M353" s="16" t="str">
        <f>HYPERLINK("http://slimages.macys.com/is/image/MCY/1929248 ")</f>
        <v xml:space="preserve">http://slimages.macys.com/is/image/MCY/1929248 </v>
      </c>
      <c r="N353" s="30"/>
    </row>
    <row r="354" spans="1:14" ht="60" x14ac:dyDescent="0.25">
      <c r="A354" s="19" t="s">
        <v>6407</v>
      </c>
      <c r="B354" s="17" t="s">
        <v>6406</v>
      </c>
      <c r="C354" s="20">
        <v>1</v>
      </c>
      <c r="D354" s="18">
        <v>54.5</v>
      </c>
      <c r="E354" s="20" t="s">
        <v>6403</v>
      </c>
      <c r="F354" s="17" t="s">
        <v>23</v>
      </c>
      <c r="G354" s="19" t="s">
        <v>139</v>
      </c>
      <c r="H354" s="18">
        <v>10.266666666666667</v>
      </c>
      <c r="I354" s="17" t="s">
        <v>1891</v>
      </c>
      <c r="J354" s="17" t="s">
        <v>67</v>
      </c>
      <c r="K354" s="17"/>
      <c r="L354" s="17"/>
      <c r="M354" s="16" t="str">
        <f>HYPERLINK("http://slimages.macys.com/is/image/MCY/18344888 ")</f>
        <v xml:space="preserve">http://slimages.macys.com/is/image/MCY/18344888 </v>
      </c>
      <c r="N354" s="30"/>
    </row>
    <row r="355" spans="1:14" ht="60" x14ac:dyDescent="0.25">
      <c r="A355" s="19" t="s">
        <v>8234</v>
      </c>
      <c r="B355" s="17" t="s">
        <v>8233</v>
      </c>
      <c r="C355" s="20">
        <v>1</v>
      </c>
      <c r="D355" s="18">
        <v>69.5</v>
      </c>
      <c r="E355" s="20" t="s">
        <v>5647</v>
      </c>
      <c r="F355" s="17" t="s">
        <v>345</v>
      </c>
      <c r="G355" s="19" t="s">
        <v>698</v>
      </c>
      <c r="H355" s="18">
        <v>10.166666666666666</v>
      </c>
      <c r="I355" s="17" t="s">
        <v>68</v>
      </c>
      <c r="J355" s="17" t="s">
        <v>67</v>
      </c>
      <c r="K355" s="17" t="s">
        <v>389</v>
      </c>
      <c r="L355" s="17" t="s">
        <v>5646</v>
      </c>
      <c r="M355" s="16" t="str">
        <f>HYPERLINK("http://slimages.macys.com/is/image/MCY/14542133 ")</f>
        <v xml:space="preserve">http://slimages.macys.com/is/image/MCY/14542133 </v>
      </c>
      <c r="N355" s="30"/>
    </row>
    <row r="356" spans="1:14" ht="60" x14ac:dyDescent="0.25">
      <c r="A356" s="19" t="s">
        <v>8232</v>
      </c>
      <c r="B356" s="17" t="s">
        <v>8231</v>
      </c>
      <c r="C356" s="20">
        <v>1</v>
      </c>
      <c r="D356" s="18">
        <v>79</v>
      </c>
      <c r="E356" s="20">
        <v>2321206</v>
      </c>
      <c r="F356" s="17" t="s">
        <v>70</v>
      </c>
      <c r="G356" s="19" t="s">
        <v>101</v>
      </c>
      <c r="H356" s="18">
        <v>10.120000000000001</v>
      </c>
      <c r="I356" s="17" t="s">
        <v>80</v>
      </c>
      <c r="J356" s="17" t="s">
        <v>293</v>
      </c>
      <c r="K356" s="17"/>
      <c r="L356" s="17"/>
      <c r="M356" s="16" t="str">
        <f>HYPERLINK("http://slimages.macys.com/is/image/MCY/18748894 ")</f>
        <v xml:space="preserve">http://slimages.macys.com/is/image/MCY/18748894 </v>
      </c>
      <c r="N356" s="30"/>
    </row>
    <row r="357" spans="1:14" ht="60" x14ac:dyDescent="0.25">
      <c r="A357" s="19" t="s">
        <v>8230</v>
      </c>
      <c r="B357" s="17" t="s">
        <v>8229</v>
      </c>
      <c r="C357" s="20">
        <v>1</v>
      </c>
      <c r="D357" s="18">
        <v>69</v>
      </c>
      <c r="E357" s="20">
        <v>2321703</v>
      </c>
      <c r="F357" s="17" t="s">
        <v>91</v>
      </c>
      <c r="G357" s="19" t="s">
        <v>101</v>
      </c>
      <c r="H357" s="18">
        <v>10</v>
      </c>
      <c r="I357" s="17" t="s">
        <v>80</v>
      </c>
      <c r="J357" s="17" t="s">
        <v>293</v>
      </c>
      <c r="K357" s="17"/>
      <c r="L357" s="17"/>
      <c r="M357" s="16" t="str">
        <f>HYPERLINK("http://slimages.macys.com/is/image/MCY/18917748 ")</f>
        <v xml:space="preserve">http://slimages.macys.com/is/image/MCY/18917748 </v>
      </c>
      <c r="N357" s="30"/>
    </row>
    <row r="358" spans="1:14" ht="60" x14ac:dyDescent="0.25">
      <c r="A358" s="19" t="s">
        <v>8228</v>
      </c>
      <c r="B358" s="17" t="s">
        <v>8227</v>
      </c>
      <c r="C358" s="20">
        <v>1</v>
      </c>
      <c r="D358" s="18">
        <v>59</v>
      </c>
      <c r="E358" s="20">
        <v>2331300</v>
      </c>
      <c r="F358" s="17" t="s">
        <v>23</v>
      </c>
      <c r="G358" s="19" t="s">
        <v>22</v>
      </c>
      <c r="H358" s="18">
        <v>10</v>
      </c>
      <c r="I358" s="17" t="s">
        <v>80</v>
      </c>
      <c r="J358" s="17" t="s">
        <v>293</v>
      </c>
      <c r="K358" s="17"/>
      <c r="L358" s="17"/>
      <c r="M358" s="16" t="str">
        <f>HYPERLINK("http://slimages.macys.com/is/image/MCY/19109825 ")</f>
        <v xml:space="preserve">http://slimages.macys.com/is/image/MCY/19109825 </v>
      </c>
      <c r="N358" s="30"/>
    </row>
    <row r="359" spans="1:14" ht="60" x14ac:dyDescent="0.25">
      <c r="A359" s="19" t="s">
        <v>7221</v>
      </c>
      <c r="B359" s="17" t="s">
        <v>7220</v>
      </c>
      <c r="C359" s="20">
        <v>1</v>
      </c>
      <c r="D359" s="18">
        <v>59</v>
      </c>
      <c r="E359" s="20">
        <v>2331300</v>
      </c>
      <c r="F359" s="17" t="s">
        <v>23</v>
      </c>
      <c r="G359" s="19" t="s">
        <v>50</v>
      </c>
      <c r="H359" s="18">
        <v>10</v>
      </c>
      <c r="I359" s="17" t="s">
        <v>80</v>
      </c>
      <c r="J359" s="17" t="s">
        <v>293</v>
      </c>
      <c r="K359" s="17"/>
      <c r="L359" s="17"/>
      <c r="M359" s="16" t="str">
        <f>HYPERLINK("http://slimages.macys.com/is/image/MCY/19109825 ")</f>
        <v xml:space="preserve">http://slimages.macys.com/is/image/MCY/19109825 </v>
      </c>
      <c r="N359" s="30"/>
    </row>
    <row r="360" spans="1:14" ht="60" x14ac:dyDescent="0.25">
      <c r="A360" s="19" t="s">
        <v>8226</v>
      </c>
      <c r="B360" s="17" t="s">
        <v>8225</v>
      </c>
      <c r="C360" s="20">
        <v>1</v>
      </c>
      <c r="D360" s="18">
        <v>69</v>
      </c>
      <c r="E360" s="20">
        <v>2321703</v>
      </c>
      <c r="F360" s="17" t="s">
        <v>28</v>
      </c>
      <c r="G360" s="19" t="s">
        <v>17</v>
      </c>
      <c r="H360" s="18">
        <v>10</v>
      </c>
      <c r="I360" s="17" t="s">
        <v>80</v>
      </c>
      <c r="J360" s="17" t="s">
        <v>293</v>
      </c>
      <c r="K360" s="17"/>
      <c r="L360" s="17"/>
      <c r="M360" s="16" t="str">
        <f>HYPERLINK("http://slimages.macys.com/is/image/MCY/18917745 ")</f>
        <v xml:space="preserve">http://slimages.macys.com/is/image/MCY/18917745 </v>
      </c>
      <c r="N360" s="30"/>
    </row>
    <row r="361" spans="1:14" ht="60" x14ac:dyDescent="0.25">
      <c r="A361" s="19" t="s">
        <v>8224</v>
      </c>
      <c r="B361" s="17" t="s">
        <v>8223</v>
      </c>
      <c r="C361" s="20">
        <v>2</v>
      </c>
      <c r="D361" s="18">
        <v>69</v>
      </c>
      <c r="E361" s="20">
        <v>2321007</v>
      </c>
      <c r="F361" s="17" t="s">
        <v>70</v>
      </c>
      <c r="G361" s="19" t="s">
        <v>22</v>
      </c>
      <c r="H361" s="18">
        <v>10</v>
      </c>
      <c r="I361" s="17" t="s">
        <v>80</v>
      </c>
      <c r="J361" s="17" t="s">
        <v>293</v>
      </c>
      <c r="K361" s="17"/>
      <c r="L361" s="17"/>
      <c r="M361" s="16" t="str">
        <f>HYPERLINK("http://slimages.macys.com/is/image/MCY/19147763 ")</f>
        <v xml:space="preserve">http://slimages.macys.com/is/image/MCY/19147763 </v>
      </c>
      <c r="N361" s="30"/>
    </row>
    <row r="362" spans="1:14" ht="60" x14ac:dyDescent="0.25">
      <c r="A362" s="19" t="s">
        <v>8222</v>
      </c>
      <c r="B362" s="17" t="s">
        <v>8221</v>
      </c>
      <c r="C362" s="20">
        <v>2</v>
      </c>
      <c r="D362" s="18">
        <v>69</v>
      </c>
      <c r="E362" s="20">
        <v>2321703</v>
      </c>
      <c r="F362" s="17" t="s">
        <v>91</v>
      </c>
      <c r="G362" s="19" t="s">
        <v>17</v>
      </c>
      <c r="H362" s="18">
        <v>10</v>
      </c>
      <c r="I362" s="17" t="s">
        <v>80</v>
      </c>
      <c r="J362" s="17" t="s">
        <v>293</v>
      </c>
      <c r="K362" s="17"/>
      <c r="L362" s="17"/>
      <c r="M362" s="16" t="str">
        <f>HYPERLINK("http://slimages.macys.com/is/image/MCY/18917748 ")</f>
        <v xml:space="preserve">http://slimages.macys.com/is/image/MCY/18917748 </v>
      </c>
      <c r="N362" s="30"/>
    </row>
    <row r="363" spans="1:14" ht="60" x14ac:dyDescent="0.25">
      <c r="A363" s="19" t="s">
        <v>7223</v>
      </c>
      <c r="B363" s="17" t="s">
        <v>7222</v>
      </c>
      <c r="C363" s="20">
        <v>2</v>
      </c>
      <c r="D363" s="18">
        <v>69</v>
      </c>
      <c r="E363" s="20">
        <v>2321703</v>
      </c>
      <c r="F363" s="17" t="s">
        <v>91</v>
      </c>
      <c r="G363" s="19" t="s">
        <v>22</v>
      </c>
      <c r="H363" s="18">
        <v>10</v>
      </c>
      <c r="I363" s="17" t="s">
        <v>80</v>
      </c>
      <c r="J363" s="17" t="s">
        <v>293</v>
      </c>
      <c r="K363" s="17"/>
      <c r="L363" s="17"/>
      <c r="M363" s="16" t="str">
        <f>HYPERLINK("http://slimages.macys.com/is/image/MCY/18917748 ")</f>
        <v xml:space="preserve">http://slimages.macys.com/is/image/MCY/18917748 </v>
      </c>
      <c r="N363" s="30"/>
    </row>
    <row r="364" spans="1:14" ht="60" x14ac:dyDescent="0.25">
      <c r="A364" s="19" t="s">
        <v>8220</v>
      </c>
      <c r="B364" s="17" t="s">
        <v>8219</v>
      </c>
      <c r="C364" s="20">
        <v>1</v>
      </c>
      <c r="D364" s="18">
        <v>54.5</v>
      </c>
      <c r="E364" s="20" t="s">
        <v>1827</v>
      </c>
      <c r="F364" s="17" t="s">
        <v>558</v>
      </c>
      <c r="G364" s="19" t="s">
        <v>351</v>
      </c>
      <c r="H364" s="18">
        <v>9.9933333333333341</v>
      </c>
      <c r="I364" s="17" t="s">
        <v>267</v>
      </c>
      <c r="J364" s="17" t="s">
        <v>32</v>
      </c>
      <c r="K364" s="17"/>
      <c r="L364" s="17"/>
      <c r="M364" s="16" t="str">
        <f>HYPERLINK("http://slimages.macys.com/is/image/MCY/19124153 ")</f>
        <v xml:space="preserve">http://slimages.macys.com/is/image/MCY/19124153 </v>
      </c>
      <c r="N364" s="30"/>
    </row>
    <row r="365" spans="1:14" ht="60" x14ac:dyDescent="0.25">
      <c r="A365" s="19" t="s">
        <v>2604</v>
      </c>
      <c r="B365" s="17" t="s">
        <v>2603</v>
      </c>
      <c r="C365" s="20">
        <v>1</v>
      </c>
      <c r="D365" s="18">
        <v>54.5</v>
      </c>
      <c r="E365" s="20" t="s">
        <v>1827</v>
      </c>
      <c r="F365" s="17" t="s">
        <v>140</v>
      </c>
      <c r="G365" s="19" t="s">
        <v>351</v>
      </c>
      <c r="H365" s="18">
        <v>9.9933333333333341</v>
      </c>
      <c r="I365" s="17" t="s">
        <v>267</v>
      </c>
      <c r="J365" s="17" t="s">
        <v>32</v>
      </c>
      <c r="K365" s="17"/>
      <c r="L365" s="17"/>
      <c r="M365" s="16" t="str">
        <f>HYPERLINK("http://slimages.macys.com/is/image/MCY/19124153 ")</f>
        <v xml:space="preserve">http://slimages.macys.com/is/image/MCY/19124153 </v>
      </c>
      <c r="N365" s="30"/>
    </row>
    <row r="366" spans="1:14" ht="60" x14ac:dyDescent="0.25">
      <c r="A366" s="19" t="s">
        <v>8218</v>
      </c>
      <c r="B366" s="17" t="s">
        <v>8217</v>
      </c>
      <c r="C366" s="20">
        <v>18</v>
      </c>
      <c r="D366" s="18">
        <v>54.5</v>
      </c>
      <c r="E366" s="20" t="s">
        <v>1827</v>
      </c>
      <c r="F366" s="17" t="s">
        <v>558</v>
      </c>
      <c r="G366" s="19" t="s">
        <v>271</v>
      </c>
      <c r="H366" s="18">
        <v>9.9933333333333341</v>
      </c>
      <c r="I366" s="17" t="s">
        <v>267</v>
      </c>
      <c r="J366" s="17" t="s">
        <v>32</v>
      </c>
      <c r="K366" s="17"/>
      <c r="L366" s="17"/>
      <c r="M366" s="16" t="str">
        <f>HYPERLINK("http://slimages.macys.com/is/image/MCY/19124153 ")</f>
        <v xml:space="preserve">http://slimages.macys.com/is/image/MCY/19124153 </v>
      </c>
      <c r="N366" s="30"/>
    </row>
    <row r="367" spans="1:14" ht="60" x14ac:dyDescent="0.25">
      <c r="A367" s="19" t="s">
        <v>8216</v>
      </c>
      <c r="B367" s="17" t="s">
        <v>8215</v>
      </c>
      <c r="C367" s="20">
        <v>1</v>
      </c>
      <c r="D367" s="18">
        <v>54.5</v>
      </c>
      <c r="E367" s="20" t="s">
        <v>8214</v>
      </c>
      <c r="F367" s="17" t="s">
        <v>140</v>
      </c>
      <c r="G367" s="19" t="s">
        <v>351</v>
      </c>
      <c r="H367" s="18">
        <v>9.9933333333333341</v>
      </c>
      <c r="I367" s="17" t="s">
        <v>267</v>
      </c>
      <c r="J367" s="17" t="s">
        <v>32</v>
      </c>
      <c r="K367" s="17"/>
      <c r="L367" s="17"/>
      <c r="M367" s="16" t="str">
        <f>HYPERLINK("http://slimages.macys.com/is/image/MCY/19269075 ")</f>
        <v xml:space="preserve">http://slimages.macys.com/is/image/MCY/19269075 </v>
      </c>
      <c r="N367" s="30"/>
    </row>
    <row r="368" spans="1:14" ht="60" x14ac:dyDescent="0.25">
      <c r="A368" s="19" t="s">
        <v>8213</v>
      </c>
      <c r="B368" s="17" t="s">
        <v>8212</v>
      </c>
      <c r="C368" s="20">
        <v>1</v>
      </c>
      <c r="D368" s="18">
        <v>59.5</v>
      </c>
      <c r="E368" s="20" t="s">
        <v>8211</v>
      </c>
      <c r="F368" s="17" t="s">
        <v>23</v>
      </c>
      <c r="G368" s="19" t="s">
        <v>74</v>
      </c>
      <c r="H368" s="18">
        <v>9.92</v>
      </c>
      <c r="I368" s="17" t="s">
        <v>106</v>
      </c>
      <c r="J368" s="17" t="s">
        <v>105</v>
      </c>
      <c r="K368" s="17" t="s">
        <v>389</v>
      </c>
      <c r="L368" s="17" t="s">
        <v>8210</v>
      </c>
      <c r="M368" s="16" t="str">
        <f>HYPERLINK("http://slimages.macys.com/is/image/MCY/12331774 ")</f>
        <v xml:space="preserve">http://slimages.macys.com/is/image/MCY/12331774 </v>
      </c>
      <c r="N368" s="30"/>
    </row>
    <row r="369" spans="1:14" ht="60" x14ac:dyDescent="0.25">
      <c r="A369" s="19" t="s">
        <v>8209</v>
      </c>
      <c r="B369" s="17" t="s">
        <v>8208</v>
      </c>
      <c r="C369" s="20">
        <v>1</v>
      </c>
      <c r="D369" s="18">
        <v>69</v>
      </c>
      <c r="E369" s="20">
        <v>8130110</v>
      </c>
      <c r="F369" s="17" t="s">
        <v>81</v>
      </c>
      <c r="G369" s="19" t="s">
        <v>17</v>
      </c>
      <c r="H369" s="18">
        <v>9.8333333333333339</v>
      </c>
      <c r="I369" s="17" t="s">
        <v>129</v>
      </c>
      <c r="J369" s="17" t="s">
        <v>128</v>
      </c>
      <c r="K369" s="17"/>
      <c r="L369" s="17"/>
      <c r="M369" s="16" t="str">
        <f>HYPERLINK("http://slimages.macys.com/is/image/MCY/17804208 ")</f>
        <v xml:space="preserve">http://slimages.macys.com/is/image/MCY/17804208 </v>
      </c>
      <c r="N369" s="30"/>
    </row>
    <row r="370" spans="1:14" ht="60" x14ac:dyDescent="0.25">
      <c r="A370" s="19" t="s">
        <v>8207</v>
      </c>
      <c r="B370" s="17" t="s">
        <v>8206</v>
      </c>
      <c r="C370" s="20">
        <v>1</v>
      </c>
      <c r="D370" s="18">
        <v>59</v>
      </c>
      <c r="E370" s="20">
        <v>7031630</v>
      </c>
      <c r="F370" s="17" t="s">
        <v>91</v>
      </c>
      <c r="G370" s="19" t="s">
        <v>17</v>
      </c>
      <c r="H370" s="18">
        <v>9.8333333333333339</v>
      </c>
      <c r="I370" s="17" t="s">
        <v>111</v>
      </c>
      <c r="J370" s="17" t="s">
        <v>110</v>
      </c>
      <c r="K370" s="17"/>
      <c r="L370" s="17"/>
      <c r="M370" s="16" t="str">
        <f>HYPERLINK("http://slimages.macys.com/is/image/MCY/19390798 ")</f>
        <v xml:space="preserve">http://slimages.macys.com/is/image/MCY/19390798 </v>
      </c>
      <c r="N370" s="30"/>
    </row>
    <row r="371" spans="1:14" ht="60" x14ac:dyDescent="0.25">
      <c r="A371" s="19" t="s">
        <v>1062</v>
      </c>
      <c r="B371" s="17" t="s">
        <v>1061</v>
      </c>
      <c r="C371" s="20">
        <v>4</v>
      </c>
      <c r="D371" s="18">
        <v>49</v>
      </c>
      <c r="E371" s="20">
        <v>10804586</v>
      </c>
      <c r="F371" s="17" t="s">
        <v>282</v>
      </c>
      <c r="G371" s="19" t="s">
        <v>271</v>
      </c>
      <c r="H371" s="18">
        <v>9.8000000000000007</v>
      </c>
      <c r="I371" s="17" t="s">
        <v>358</v>
      </c>
      <c r="J371" s="17" t="s">
        <v>554</v>
      </c>
      <c r="K371" s="17"/>
      <c r="L371" s="17"/>
      <c r="M371" s="16" t="str">
        <f>HYPERLINK("http://slimages.macys.com/is/image/MCY/18874177 ")</f>
        <v xml:space="preserve">http://slimages.macys.com/is/image/MCY/18874177 </v>
      </c>
      <c r="N371" s="30"/>
    </row>
    <row r="372" spans="1:14" ht="60" x14ac:dyDescent="0.25">
      <c r="A372" s="19" t="s">
        <v>8205</v>
      </c>
      <c r="B372" s="17" t="s">
        <v>8204</v>
      </c>
      <c r="C372" s="20">
        <v>1</v>
      </c>
      <c r="D372" s="18">
        <v>49</v>
      </c>
      <c r="E372" s="20" t="s">
        <v>8203</v>
      </c>
      <c r="F372" s="17" t="s">
        <v>149</v>
      </c>
      <c r="G372" s="19" t="s">
        <v>27</v>
      </c>
      <c r="H372" s="18">
        <v>9.8000000000000007</v>
      </c>
      <c r="I372" s="17" t="s">
        <v>678</v>
      </c>
      <c r="J372" s="17" t="s">
        <v>404</v>
      </c>
      <c r="K372" s="17"/>
      <c r="L372" s="17"/>
      <c r="M372" s="16" t="str">
        <f>HYPERLINK("http://slimages.macys.com/is/image/MCY/18638453 ")</f>
        <v xml:space="preserve">http://slimages.macys.com/is/image/MCY/18638453 </v>
      </c>
      <c r="N372" s="30"/>
    </row>
    <row r="373" spans="1:14" ht="60" x14ac:dyDescent="0.25">
      <c r="A373" s="19" t="s">
        <v>7206</v>
      </c>
      <c r="B373" s="17" t="s">
        <v>7205</v>
      </c>
      <c r="C373" s="20">
        <v>1</v>
      </c>
      <c r="D373" s="18">
        <v>49</v>
      </c>
      <c r="E373" s="20">
        <v>10804586</v>
      </c>
      <c r="F373" s="17" t="s">
        <v>282</v>
      </c>
      <c r="G373" s="19" t="s">
        <v>139</v>
      </c>
      <c r="H373" s="18">
        <v>9.8000000000000007</v>
      </c>
      <c r="I373" s="17" t="s">
        <v>358</v>
      </c>
      <c r="J373" s="17" t="s">
        <v>554</v>
      </c>
      <c r="K373" s="17"/>
      <c r="L373" s="17"/>
      <c r="M373" s="16" t="str">
        <f>HYPERLINK("http://slimages.macys.com/is/image/MCY/18874177 ")</f>
        <v xml:space="preserve">http://slimages.macys.com/is/image/MCY/18874177 </v>
      </c>
      <c r="N373" s="30"/>
    </row>
    <row r="374" spans="1:14" ht="60" x14ac:dyDescent="0.25">
      <c r="A374" s="19" t="s">
        <v>8202</v>
      </c>
      <c r="B374" s="17" t="s">
        <v>8201</v>
      </c>
      <c r="C374" s="20">
        <v>1</v>
      </c>
      <c r="D374" s="18">
        <v>49</v>
      </c>
      <c r="E374" s="20">
        <v>10804586</v>
      </c>
      <c r="F374" s="17" t="s">
        <v>282</v>
      </c>
      <c r="G374" s="19" t="s">
        <v>351</v>
      </c>
      <c r="H374" s="18">
        <v>9.8000000000000007</v>
      </c>
      <c r="I374" s="17" t="s">
        <v>358</v>
      </c>
      <c r="J374" s="17" t="s">
        <v>554</v>
      </c>
      <c r="K374" s="17"/>
      <c r="L374" s="17"/>
      <c r="M374" s="16" t="str">
        <f>HYPERLINK("http://slimages.macys.com/is/image/MCY/18874177 ")</f>
        <v xml:space="preserve">http://slimages.macys.com/is/image/MCY/18874177 </v>
      </c>
      <c r="N374" s="30"/>
    </row>
    <row r="375" spans="1:14" ht="60" x14ac:dyDescent="0.25">
      <c r="A375" s="19" t="s">
        <v>8200</v>
      </c>
      <c r="B375" s="17" t="s">
        <v>8199</v>
      </c>
      <c r="C375" s="20">
        <v>1</v>
      </c>
      <c r="D375" s="18">
        <v>50</v>
      </c>
      <c r="E375" s="20" t="s">
        <v>1058</v>
      </c>
      <c r="F375" s="17" t="s">
        <v>28</v>
      </c>
      <c r="G375" s="19" t="s">
        <v>22</v>
      </c>
      <c r="H375" s="18">
        <v>9.7666666666666675</v>
      </c>
      <c r="I375" s="17" t="s">
        <v>16</v>
      </c>
      <c r="J375" s="17" t="s">
        <v>15</v>
      </c>
      <c r="K375" s="17"/>
      <c r="L375" s="17"/>
      <c r="M375" s="16" t="str">
        <f>HYPERLINK("http://slimages.macys.com/is/image/MCY/18437461 ")</f>
        <v xml:space="preserve">http://slimages.macys.com/is/image/MCY/18437461 </v>
      </c>
      <c r="N375" s="30"/>
    </row>
    <row r="376" spans="1:14" ht="60" x14ac:dyDescent="0.25">
      <c r="A376" s="19" t="s">
        <v>8198</v>
      </c>
      <c r="B376" s="17" t="s">
        <v>8197</v>
      </c>
      <c r="C376" s="20">
        <v>2</v>
      </c>
      <c r="D376" s="18">
        <v>59</v>
      </c>
      <c r="E376" s="20">
        <v>2360304</v>
      </c>
      <c r="F376" s="17" t="s">
        <v>63</v>
      </c>
      <c r="G376" s="19" t="s">
        <v>698</v>
      </c>
      <c r="H376" s="18">
        <v>9.6666666666666661</v>
      </c>
      <c r="I376" s="17" t="s">
        <v>80</v>
      </c>
      <c r="J376" s="17" t="s">
        <v>293</v>
      </c>
      <c r="K376" s="17"/>
      <c r="L376" s="17"/>
      <c r="M376" s="16" t="str">
        <f>HYPERLINK("http://slimages.macys.com/is/image/MCY/19376602 ")</f>
        <v xml:space="preserve">http://slimages.macys.com/is/image/MCY/19376602 </v>
      </c>
      <c r="N376" s="30"/>
    </row>
    <row r="377" spans="1:14" ht="60" x14ac:dyDescent="0.25">
      <c r="A377" s="19" t="s">
        <v>8196</v>
      </c>
      <c r="B377" s="17" t="s">
        <v>8195</v>
      </c>
      <c r="C377" s="20">
        <v>1</v>
      </c>
      <c r="D377" s="18">
        <v>79</v>
      </c>
      <c r="E377" s="20">
        <v>2350700</v>
      </c>
      <c r="F377" s="17" t="s">
        <v>28</v>
      </c>
      <c r="G377" s="19" t="s">
        <v>62</v>
      </c>
      <c r="H377" s="18">
        <v>9.66</v>
      </c>
      <c r="I377" s="17" t="s">
        <v>80</v>
      </c>
      <c r="J377" s="17" t="s">
        <v>293</v>
      </c>
      <c r="K377" s="17"/>
      <c r="L377" s="17"/>
      <c r="M377" s="16" t="str">
        <f>HYPERLINK("http://slimages.macys.com/is/image/MCY/17697633 ")</f>
        <v xml:space="preserve">http://slimages.macys.com/is/image/MCY/17697633 </v>
      </c>
      <c r="N377" s="30"/>
    </row>
    <row r="378" spans="1:14" ht="60" x14ac:dyDescent="0.25">
      <c r="A378" s="19" t="s">
        <v>8194</v>
      </c>
      <c r="B378" s="17" t="s">
        <v>8193</v>
      </c>
      <c r="C378" s="20">
        <v>1</v>
      </c>
      <c r="D378" s="18">
        <v>69</v>
      </c>
      <c r="E378" s="20">
        <v>2350224</v>
      </c>
      <c r="F378" s="17" t="s">
        <v>140</v>
      </c>
      <c r="G378" s="19" t="s">
        <v>17</v>
      </c>
      <c r="H378" s="18">
        <v>9.4466666666666672</v>
      </c>
      <c r="I378" s="17" t="s">
        <v>80</v>
      </c>
      <c r="J378" s="17" t="s">
        <v>293</v>
      </c>
      <c r="K378" s="17"/>
      <c r="L378" s="17"/>
      <c r="M378" s="16" t="str">
        <f>HYPERLINK("http://slimages.macys.com/is/image/MCY/17840552 ")</f>
        <v xml:space="preserve">http://slimages.macys.com/is/image/MCY/17840552 </v>
      </c>
      <c r="N378" s="30"/>
    </row>
    <row r="379" spans="1:14" ht="60" x14ac:dyDescent="0.25">
      <c r="A379" s="19" t="s">
        <v>8192</v>
      </c>
      <c r="B379" s="17" t="s">
        <v>8191</v>
      </c>
      <c r="C379" s="20">
        <v>1</v>
      </c>
      <c r="D379" s="18">
        <v>59</v>
      </c>
      <c r="E379" s="20">
        <v>2321070</v>
      </c>
      <c r="F379" s="17" t="s">
        <v>575</v>
      </c>
      <c r="G379" s="19" t="s">
        <v>62</v>
      </c>
      <c r="H379" s="18">
        <v>9.44</v>
      </c>
      <c r="I379" s="17" t="s">
        <v>80</v>
      </c>
      <c r="J379" s="17" t="s">
        <v>293</v>
      </c>
      <c r="K379" s="17"/>
      <c r="L379" s="17"/>
      <c r="M379" s="16" t="str">
        <f>HYPERLINK("http://slimages.macys.com/is/image/MCY/18974364 ")</f>
        <v xml:space="preserve">http://slimages.macys.com/is/image/MCY/18974364 </v>
      </c>
      <c r="N379" s="30"/>
    </row>
    <row r="380" spans="1:14" ht="60" x14ac:dyDescent="0.25">
      <c r="A380" s="19" t="s">
        <v>8190</v>
      </c>
      <c r="B380" s="17" t="s">
        <v>8189</v>
      </c>
      <c r="C380" s="20">
        <v>1</v>
      </c>
      <c r="D380" s="18">
        <v>59</v>
      </c>
      <c r="E380" s="20">
        <v>2321070</v>
      </c>
      <c r="F380" s="17" t="s">
        <v>575</v>
      </c>
      <c r="G380" s="19" t="s">
        <v>313</v>
      </c>
      <c r="H380" s="18">
        <v>9.44</v>
      </c>
      <c r="I380" s="17" t="s">
        <v>80</v>
      </c>
      <c r="J380" s="17" t="s">
        <v>293</v>
      </c>
      <c r="K380" s="17"/>
      <c r="L380" s="17"/>
      <c r="M380" s="16" t="str">
        <f>HYPERLINK("http://slimages.macys.com/is/image/MCY/18974364 ")</f>
        <v xml:space="preserve">http://slimages.macys.com/is/image/MCY/18974364 </v>
      </c>
      <c r="N380" s="30"/>
    </row>
    <row r="381" spans="1:14" ht="60" x14ac:dyDescent="0.25">
      <c r="A381" s="19" t="s">
        <v>1811</v>
      </c>
      <c r="B381" s="17" t="s">
        <v>1810</v>
      </c>
      <c r="C381" s="20">
        <v>1</v>
      </c>
      <c r="D381" s="18">
        <v>59</v>
      </c>
      <c r="E381" s="20">
        <v>2331830</v>
      </c>
      <c r="F381" s="17" t="s">
        <v>63</v>
      </c>
      <c r="G381" s="19" t="s">
        <v>313</v>
      </c>
      <c r="H381" s="18">
        <v>9.3333333333333339</v>
      </c>
      <c r="I381" s="17" t="s">
        <v>80</v>
      </c>
      <c r="J381" s="17" t="s">
        <v>293</v>
      </c>
      <c r="K381" s="17"/>
      <c r="L381" s="17"/>
      <c r="M381" s="16" t="str">
        <f>HYPERLINK("http://slimages.macys.com/is/image/MCY/19226187 ")</f>
        <v xml:space="preserve">http://slimages.macys.com/is/image/MCY/19226187 </v>
      </c>
      <c r="N381" s="30"/>
    </row>
    <row r="382" spans="1:14" ht="60" x14ac:dyDescent="0.25">
      <c r="A382" s="19" t="s">
        <v>1053</v>
      </c>
      <c r="B382" s="17" t="s">
        <v>1052</v>
      </c>
      <c r="C382" s="20">
        <v>1</v>
      </c>
      <c r="D382" s="18">
        <v>59</v>
      </c>
      <c r="E382" s="20">
        <v>2331830</v>
      </c>
      <c r="F382" s="17" t="s">
        <v>63</v>
      </c>
      <c r="G382" s="19" t="s">
        <v>22</v>
      </c>
      <c r="H382" s="18">
        <v>9.3333333333333339</v>
      </c>
      <c r="I382" s="17" t="s">
        <v>80</v>
      </c>
      <c r="J382" s="17" t="s">
        <v>293</v>
      </c>
      <c r="K382" s="17"/>
      <c r="L382" s="17"/>
      <c r="M382" s="16" t="str">
        <f>HYPERLINK("http://slimages.macys.com/is/image/MCY/19226187 ")</f>
        <v xml:space="preserve">http://slimages.macys.com/is/image/MCY/19226187 </v>
      </c>
      <c r="N382" s="30"/>
    </row>
    <row r="383" spans="1:14" ht="60" x14ac:dyDescent="0.25">
      <c r="A383" s="19" t="s">
        <v>8188</v>
      </c>
      <c r="B383" s="17" t="s">
        <v>8187</v>
      </c>
      <c r="C383" s="20">
        <v>1</v>
      </c>
      <c r="D383" s="18">
        <v>59</v>
      </c>
      <c r="E383" s="20">
        <v>2331830</v>
      </c>
      <c r="F383" s="17" t="s">
        <v>63</v>
      </c>
      <c r="G383" s="19" t="s">
        <v>62</v>
      </c>
      <c r="H383" s="18">
        <v>9.3333333333333339</v>
      </c>
      <c r="I383" s="17" t="s">
        <v>80</v>
      </c>
      <c r="J383" s="17" t="s">
        <v>293</v>
      </c>
      <c r="K383" s="17"/>
      <c r="L383" s="17"/>
      <c r="M383" s="16" t="str">
        <f>HYPERLINK("http://slimages.macys.com/is/image/MCY/19226187 ")</f>
        <v xml:space="preserve">http://slimages.macys.com/is/image/MCY/19226187 </v>
      </c>
      <c r="N383" s="30"/>
    </row>
    <row r="384" spans="1:14" ht="60" x14ac:dyDescent="0.25">
      <c r="A384" s="19" t="s">
        <v>295</v>
      </c>
      <c r="B384" s="17" t="s">
        <v>294</v>
      </c>
      <c r="C384" s="20">
        <v>1</v>
      </c>
      <c r="D384" s="18">
        <v>59</v>
      </c>
      <c r="E384" s="20">
        <v>2331830</v>
      </c>
      <c r="F384" s="17" t="s">
        <v>63</v>
      </c>
      <c r="G384" s="19" t="s">
        <v>17</v>
      </c>
      <c r="H384" s="18">
        <v>9.3333333333333339</v>
      </c>
      <c r="I384" s="17" t="s">
        <v>80</v>
      </c>
      <c r="J384" s="17" t="s">
        <v>293</v>
      </c>
      <c r="K384" s="17"/>
      <c r="L384" s="17"/>
      <c r="M384" s="16" t="str">
        <f>HYPERLINK("http://slimages.macys.com/is/image/MCY/19226187 ")</f>
        <v xml:space="preserve">http://slimages.macys.com/is/image/MCY/19226187 </v>
      </c>
      <c r="N384" s="30"/>
    </row>
    <row r="385" spans="1:14" ht="60" x14ac:dyDescent="0.25">
      <c r="A385" s="19" t="s">
        <v>8186</v>
      </c>
      <c r="B385" s="17" t="s">
        <v>8185</v>
      </c>
      <c r="C385" s="20">
        <v>1</v>
      </c>
      <c r="D385" s="18">
        <v>59</v>
      </c>
      <c r="E385" s="20">
        <v>2331830</v>
      </c>
      <c r="F385" s="17" t="s">
        <v>63</v>
      </c>
      <c r="G385" s="19" t="s">
        <v>101</v>
      </c>
      <c r="H385" s="18">
        <v>9.3333333333333339</v>
      </c>
      <c r="I385" s="17" t="s">
        <v>80</v>
      </c>
      <c r="J385" s="17" t="s">
        <v>293</v>
      </c>
      <c r="K385" s="17"/>
      <c r="L385" s="17"/>
      <c r="M385" s="16" t="str">
        <f>HYPERLINK("http://slimages.macys.com/is/image/MCY/19226187 ")</f>
        <v xml:space="preserve">http://slimages.macys.com/is/image/MCY/19226187 </v>
      </c>
      <c r="N385" s="30"/>
    </row>
    <row r="386" spans="1:14" ht="60" x14ac:dyDescent="0.25">
      <c r="A386" s="19" t="s">
        <v>8184</v>
      </c>
      <c r="B386" s="17" t="s">
        <v>8183</v>
      </c>
      <c r="C386" s="20">
        <v>1</v>
      </c>
      <c r="D386" s="18">
        <v>49.5</v>
      </c>
      <c r="E386" s="20" t="s">
        <v>7182</v>
      </c>
      <c r="F386" s="17" t="s">
        <v>23</v>
      </c>
      <c r="G386" s="19" t="s">
        <v>74</v>
      </c>
      <c r="H386" s="18">
        <v>9.32</v>
      </c>
      <c r="I386" s="17" t="s">
        <v>56</v>
      </c>
      <c r="J386" s="17" t="s">
        <v>55</v>
      </c>
      <c r="K386" s="17"/>
      <c r="L386" s="17"/>
      <c r="M386" s="16" t="str">
        <f>HYPERLINK("http://slimages.macys.com/is/image/MCY/19183007 ")</f>
        <v xml:space="preserve">http://slimages.macys.com/is/image/MCY/19183007 </v>
      </c>
      <c r="N386" s="30"/>
    </row>
    <row r="387" spans="1:14" ht="60" x14ac:dyDescent="0.25">
      <c r="A387" s="19" t="s">
        <v>8182</v>
      </c>
      <c r="B387" s="17" t="s">
        <v>8181</v>
      </c>
      <c r="C387" s="20">
        <v>1</v>
      </c>
      <c r="D387" s="18">
        <v>49.5</v>
      </c>
      <c r="E387" s="20" t="s">
        <v>6307</v>
      </c>
      <c r="F387" s="17" t="s">
        <v>58</v>
      </c>
      <c r="G387" s="19" t="s">
        <v>271</v>
      </c>
      <c r="H387" s="18">
        <v>9.32</v>
      </c>
      <c r="I387" s="17" t="s">
        <v>1891</v>
      </c>
      <c r="J387" s="17" t="s">
        <v>2435</v>
      </c>
      <c r="K387" s="17"/>
      <c r="L387" s="17"/>
      <c r="M387" s="16" t="str">
        <f>HYPERLINK("http://slimages.macys.com/is/image/MCY/16661287 ")</f>
        <v xml:space="preserve">http://slimages.macys.com/is/image/MCY/16661287 </v>
      </c>
      <c r="N387" s="30"/>
    </row>
    <row r="388" spans="1:14" ht="60" x14ac:dyDescent="0.25">
      <c r="A388" s="19" t="s">
        <v>5607</v>
      </c>
      <c r="B388" s="17" t="s">
        <v>5606</v>
      </c>
      <c r="C388" s="20">
        <v>1</v>
      </c>
      <c r="D388" s="18">
        <v>49.5</v>
      </c>
      <c r="E388" s="20" t="s">
        <v>5605</v>
      </c>
      <c r="F388" s="17" t="s">
        <v>58</v>
      </c>
      <c r="G388" s="19" t="s">
        <v>69</v>
      </c>
      <c r="H388" s="18">
        <v>9.32</v>
      </c>
      <c r="I388" s="17" t="s">
        <v>56</v>
      </c>
      <c r="J388" s="17" t="s">
        <v>55</v>
      </c>
      <c r="K388" s="17"/>
      <c r="L388" s="17"/>
      <c r="M388" s="16" t="str">
        <f>HYPERLINK("http://slimages.macys.com/is/image/MCY/18941649 ")</f>
        <v xml:space="preserve">http://slimages.macys.com/is/image/MCY/18941649 </v>
      </c>
      <c r="N388" s="30"/>
    </row>
    <row r="389" spans="1:14" ht="60" x14ac:dyDescent="0.25">
      <c r="A389" s="19" t="s">
        <v>8180</v>
      </c>
      <c r="B389" s="17" t="s">
        <v>8179</v>
      </c>
      <c r="C389" s="20">
        <v>1</v>
      </c>
      <c r="D389" s="18">
        <v>49.5</v>
      </c>
      <c r="E389" s="20" t="s">
        <v>8178</v>
      </c>
      <c r="F389" s="17" t="s">
        <v>51</v>
      </c>
      <c r="G389" s="19" t="s">
        <v>57</v>
      </c>
      <c r="H389" s="18">
        <v>9.32</v>
      </c>
      <c r="I389" s="17" t="s">
        <v>56</v>
      </c>
      <c r="J389" s="17" t="s">
        <v>55</v>
      </c>
      <c r="K389" s="17"/>
      <c r="L389" s="17"/>
      <c r="M389" s="16" t="str">
        <f>HYPERLINK("http://slimages.macys.com/is/image/MCY/18839025 ")</f>
        <v xml:space="preserve">http://slimages.macys.com/is/image/MCY/18839025 </v>
      </c>
      <c r="N389" s="30"/>
    </row>
    <row r="390" spans="1:14" ht="60" x14ac:dyDescent="0.25">
      <c r="A390" s="19" t="s">
        <v>8177</v>
      </c>
      <c r="B390" s="17" t="s">
        <v>8176</v>
      </c>
      <c r="C390" s="20">
        <v>1</v>
      </c>
      <c r="D390" s="18">
        <v>49.5</v>
      </c>
      <c r="E390" s="20" t="s">
        <v>3101</v>
      </c>
      <c r="F390" s="17" t="s">
        <v>359</v>
      </c>
      <c r="G390" s="19" t="s">
        <v>74</v>
      </c>
      <c r="H390" s="18">
        <v>9.32</v>
      </c>
      <c r="I390" s="17" t="s">
        <v>68</v>
      </c>
      <c r="J390" s="17" t="s">
        <v>67</v>
      </c>
      <c r="K390" s="17"/>
      <c r="L390" s="17"/>
      <c r="M390" s="16" t="str">
        <f>HYPERLINK("http://slimages.macys.com/is/image/MCY/19180410 ")</f>
        <v xml:space="preserve">http://slimages.macys.com/is/image/MCY/19180410 </v>
      </c>
      <c r="N390" s="30"/>
    </row>
    <row r="391" spans="1:14" ht="60" x14ac:dyDescent="0.25">
      <c r="A391" s="19" t="s">
        <v>8175</v>
      </c>
      <c r="B391" s="17" t="s">
        <v>8174</v>
      </c>
      <c r="C391" s="20">
        <v>1</v>
      </c>
      <c r="D391" s="18">
        <v>49.5</v>
      </c>
      <c r="E391" s="20" t="s">
        <v>3101</v>
      </c>
      <c r="F391" s="17" t="s">
        <v>206</v>
      </c>
      <c r="G391" s="19" t="s">
        <v>74</v>
      </c>
      <c r="H391" s="18">
        <v>9.32</v>
      </c>
      <c r="I391" s="17" t="s">
        <v>68</v>
      </c>
      <c r="J391" s="17" t="s">
        <v>67</v>
      </c>
      <c r="K391" s="17"/>
      <c r="L391" s="17"/>
      <c r="M391" s="16" t="str">
        <f>HYPERLINK("http://slimages.macys.com/is/image/MCY/19180410 ")</f>
        <v xml:space="preserve">http://slimages.macys.com/is/image/MCY/19180410 </v>
      </c>
      <c r="N391" s="30"/>
    </row>
    <row r="392" spans="1:14" ht="60" x14ac:dyDescent="0.25">
      <c r="A392" s="19" t="s">
        <v>8173</v>
      </c>
      <c r="B392" s="17" t="s">
        <v>8172</v>
      </c>
      <c r="C392" s="20">
        <v>2</v>
      </c>
      <c r="D392" s="18">
        <v>49.5</v>
      </c>
      <c r="E392" s="20" t="s">
        <v>3394</v>
      </c>
      <c r="F392" s="17" t="s">
        <v>390</v>
      </c>
      <c r="G392" s="19" t="s">
        <v>74</v>
      </c>
      <c r="H392" s="18">
        <v>9.32</v>
      </c>
      <c r="I392" s="17" t="s">
        <v>56</v>
      </c>
      <c r="J392" s="17" t="s">
        <v>55</v>
      </c>
      <c r="K392" s="17"/>
      <c r="L392" s="17"/>
      <c r="M392" s="16" t="str">
        <f>HYPERLINK("http://slimages.macys.com/is/image/MCY/19019681 ")</f>
        <v xml:space="preserve">http://slimages.macys.com/is/image/MCY/19019681 </v>
      </c>
      <c r="N392" s="30"/>
    </row>
    <row r="393" spans="1:14" ht="60" x14ac:dyDescent="0.25">
      <c r="A393" s="19" t="s">
        <v>8171</v>
      </c>
      <c r="B393" s="17" t="s">
        <v>8170</v>
      </c>
      <c r="C393" s="20">
        <v>1</v>
      </c>
      <c r="D393" s="18">
        <v>54.5</v>
      </c>
      <c r="E393" s="20" t="s">
        <v>2586</v>
      </c>
      <c r="F393" s="17" t="s">
        <v>140</v>
      </c>
      <c r="G393" s="19" t="s">
        <v>96</v>
      </c>
      <c r="H393" s="18">
        <v>9.32</v>
      </c>
      <c r="I393" s="17" t="s">
        <v>68</v>
      </c>
      <c r="J393" s="17" t="s">
        <v>67</v>
      </c>
      <c r="K393" s="17"/>
      <c r="L393" s="17"/>
      <c r="M393" s="16" t="str">
        <f>HYPERLINK("http://slimages.macys.com/is/image/MCY/1929248 ")</f>
        <v xml:space="preserve">http://slimages.macys.com/is/image/MCY/1929248 </v>
      </c>
      <c r="N393" s="30"/>
    </row>
    <row r="394" spans="1:14" ht="60" x14ac:dyDescent="0.25">
      <c r="A394" s="19" t="s">
        <v>8169</v>
      </c>
      <c r="B394" s="17" t="s">
        <v>8168</v>
      </c>
      <c r="C394" s="20">
        <v>1</v>
      </c>
      <c r="D394" s="18">
        <v>49.5</v>
      </c>
      <c r="E394" s="20" t="s">
        <v>3101</v>
      </c>
      <c r="F394" s="17" t="s">
        <v>28</v>
      </c>
      <c r="G394" s="19" t="s">
        <v>62</v>
      </c>
      <c r="H394" s="18">
        <v>9.32</v>
      </c>
      <c r="I394" s="17" t="s">
        <v>68</v>
      </c>
      <c r="J394" s="17" t="s">
        <v>67</v>
      </c>
      <c r="K394" s="17"/>
      <c r="L394" s="17"/>
      <c r="M394" s="16" t="str">
        <f>HYPERLINK("http://slimages.macys.com/is/image/MCY/19180410 ")</f>
        <v xml:space="preserve">http://slimages.macys.com/is/image/MCY/19180410 </v>
      </c>
      <c r="N394" s="30"/>
    </row>
    <row r="395" spans="1:14" ht="60" x14ac:dyDescent="0.25">
      <c r="A395" s="19" t="s">
        <v>8167</v>
      </c>
      <c r="B395" s="17" t="s">
        <v>8166</v>
      </c>
      <c r="C395" s="20">
        <v>1</v>
      </c>
      <c r="D395" s="18">
        <v>49.5</v>
      </c>
      <c r="E395" s="20">
        <v>30095395</v>
      </c>
      <c r="F395" s="17" t="s">
        <v>51</v>
      </c>
      <c r="G395" s="19" t="s">
        <v>69</v>
      </c>
      <c r="H395" s="18">
        <v>9.24</v>
      </c>
      <c r="I395" s="17" t="s">
        <v>80</v>
      </c>
      <c r="J395" s="17" t="s">
        <v>513</v>
      </c>
      <c r="K395" s="17"/>
      <c r="L395" s="17"/>
      <c r="M395" s="16" t="str">
        <f>HYPERLINK("http://slimages.macys.com/is/image/MCY/19070491 ")</f>
        <v xml:space="preserve">http://slimages.macys.com/is/image/MCY/19070491 </v>
      </c>
      <c r="N395" s="30"/>
    </row>
    <row r="396" spans="1:14" ht="60" x14ac:dyDescent="0.25">
      <c r="A396" s="19" t="s">
        <v>8165</v>
      </c>
      <c r="B396" s="17" t="s">
        <v>8164</v>
      </c>
      <c r="C396" s="20">
        <v>1</v>
      </c>
      <c r="D396" s="18">
        <v>49</v>
      </c>
      <c r="E396" s="20" t="s">
        <v>8163</v>
      </c>
      <c r="F396" s="17" t="s">
        <v>433</v>
      </c>
      <c r="G396" s="19" t="s">
        <v>271</v>
      </c>
      <c r="H396" s="18">
        <v>9.2266666666666666</v>
      </c>
      <c r="I396" s="17" t="s">
        <v>1891</v>
      </c>
      <c r="J396" s="17" t="s">
        <v>2435</v>
      </c>
      <c r="K396" s="17" t="s">
        <v>389</v>
      </c>
      <c r="L396" s="17" t="s">
        <v>1129</v>
      </c>
      <c r="M396" s="16" t="str">
        <f>HYPERLINK("http://slimages.macys.com/is/image/MCY/13402745 ")</f>
        <v xml:space="preserve">http://slimages.macys.com/is/image/MCY/13402745 </v>
      </c>
      <c r="N396" s="30"/>
    </row>
    <row r="397" spans="1:14" ht="60" x14ac:dyDescent="0.25">
      <c r="A397" s="19" t="s">
        <v>8162</v>
      </c>
      <c r="B397" s="17" t="s">
        <v>8161</v>
      </c>
      <c r="C397" s="20">
        <v>1</v>
      </c>
      <c r="D397" s="18">
        <v>59</v>
      </c>
      <c r="E397" s="20">
        <v>2321624</v>
      </c>
      <c r="F397" s="17" t="s">
        <v>28</v>
      </c>
      <c r="G397" s="19" t="s">
        <v>101</v>
      </c>
      <c r="H397" s="18">
        <v>9.1666666666666679</v>
      </c>
      <c r="I397" s="17" t="s">
        <v>80</v>
      </c>
      <c r="J397" s="17" t="s">
        <v>293</v>
      </c>
      <c r="K397" s="17"/>
      <c r="L397" s="17"/>
      <c r="M397" s="16" t="str">
        <f>HYPERLINK("http://slimages.macys.com/is/image/MCY/18605545 ")</f>
        <v xml:space="preserve">http://slimages.macys.com/is/image/MCY/18605545 </v>
      </c>
      <c r="N397" s="30"/>
    </row>
    <row r="398" spans="1:14" ht="60" x14ac:dyDescent="0.25">
      <c r="A398" s="19" t="s">
        <v>8160</v>
      </c>
      <c r="B398" s="17" t="s">
        <v>8159</v>
      </c>
      <c r="C398" s="20">
        <v>2</v>
      </c>
      <c r="D398" s="18">
        <v>49.5</v>
      </c>
      <c r="E398" s="20" t="s">
        <v>8158</v>
      </c>
      <c r="F398" s="17" t="s">
        <v>44</v>
      </c>
      <c r="G398" s="19" t="s">
        <v>351</v>
      </c>
      <c r="H398" s="18">
        <v>9.0733333333333341</v>
      </c>
      <c r="I398" s="17" t="s">
        <v>267</v>
      </c>
      <c r="J398" s="17" t="s">
        <v>32</v>
      </c>
      <c r="K398" s="17"/>
      <c r="L398" s="17"/>
      <c r="M398" s="16" t="str">
        <f>HYPERLINK("http://slimages.macys.com/is/image/MCY/19319618 ")</f>
        <v xml:space="preserve">http://slimages.macys.com/is/image/MCY/19319618 </v>
      </c>
      <c r="N398" s="30"/>
    </row>
    <row r="399" spans="1:14" ht="60" x14ac:dyDescent="0.25">
      <c r="A399" s="19" t="s">
        <v>7161</v>
      </c>
      <c r="B399" s="17" t="s">
        <v>7160</v>
      </c>
      <c r="C399" s="20">
        <v>1</v>
      </c>
      <c r="D399" s="18">
        <v>49.5</v>
      </c>
      <c r="E399" s="20" t="s">
        <v>7159</v>
      </c>
      <c r="F399" s="17" t="s">
        <v>514</v>
      </c>
      <c r="G399" s="19" t="s">
        <v>139</v>
      </c>
      <c r="H399" s="18">
        <v>9.0733333333333341</v>
      </c>
      <c r="I399" s="17" t="s">
        <v>267</v>
      </c>
      <c r="J399" s="17" t="s">
        <v>32</v>
      </c>
      <c r="K399" s="17"/>
      <c r="L399" s="17"/>
      <c r="M399" s="16" t="str">
        <f>HYPERLINK("http://slimages.macys.com/is/image/MCY/19269068 ")</f>
        <v xml:space="preserve">http://slimages.macys.com/is/image/MCY/19269068 </v>
      </c>
      <c r="N399" s="30"/>
    </row>
    <row r="400" spans="1:14" ht="60" x14ac:dyDescent="0.25">
      <c r="A400" s="19" t="s">
        <v>8157</v>
      </c>
      <c r="B400" s="17" t="s">
        <v>8156</v>
      </c>
      <c r="C400" s="20">
        <v>1</v>
      </c>
      <c r="D400" s="18">
        <v>49.5</v>
      </c>
      <c r="E400" s="20" t="s">
        <v>7159</v>
      </c>
      <c r="F400" s="17" t="s">
        <v>514</v>
      </c>
      <c r="G400" s="19" t="s">
        <v>271</v>
      </c>
      <c r="H400" s="18">
        <v>9.0733333333333341</v>
      </c>
      <c r="I400" s="17" t="s">
        <v>267</v>
      </c>
      <c r="J400" s="17" t="s">
        <v>32</v>
      </c>
      <c r="K400" s="17"/>
      <c r="L400" s="17"/>
      <c r="M400" s="16" t="str">
        <f>HYPERLINK("http://slimages.macys.com/is/image/MCY/19269068 ")</f>
        <v xml:space="preserve">http://slimages.macys.com/is/image/MCY/19269068 </v>
      </c>
      <c r="N400" s="30"/>
    </row>
    <row r="401" spans="1:14" ht="60" x14ac:dyDescent="0.25">
      <c r="A401" s="19" t="s">
        <v>8155</v>
      </c>
      <c r="B401" s="17" t="s">
        <v>8154</v>
      </c>
      <c r="C401" s="20">
        <v>1</v>
      </c>
      <c r="D401" s="18">
        <v>49.5</v>
      </c>
      <c r="E401" s="20" t="s">
        <v>8153</v>
      </c>
      <c r="F401" s="17" t="s">
        <v>70</v>
      </c>
      <c r="G401" s="19" t="s">
        <v>351</v>
      </c>
      <c r="H401" s="18">
        <v>9.0733333333333341</v>
      </c>
      <c r="I401" s="17" t="s">
        <v>267</v>
      </c>
      <c r="J401" s="17" t="s">
        <v>32</v>
      </c>
      <c r="K401" s="17"/>
      <c r="L401" s="17"/>
      <c r="M401" s="16" t="str">
        <f>HYPERLINK("http://slimages.macys.com/is/image/MCY/19269079 ")</f>
        <v xml:space="preserve">http://slimages.macys.com/is/image/MCY/19269079 </v>
      </c>
      <c r="N401" s="30"/>
    </row>
    <row r="402" spans="1:14" ht="60" x14ac:dyDescent="0.25">
      <c r="A402" s="19" t="s">
        <v>3362</v>
      </c>
      <c r="B402" s="17" t="s">
        <v>3361</v>
      </c>
      <c r="C402" s="20">
        <v>1</v>
      </c>
      <c r="D402" s="18">
        <v>48</v>
      </c>
      <c r="E402" s="20" t="s">
        <v>264</v>
      </c>
      <c r="F402" s="17" t="s">
        <v>263</v>
      </c>
      <c r="G402" s="19" t="s">
        <v>74</v>
      </c>
      <c r="H402" s="18">
        <v>8.9600000000000009</v>
      </c>
      <c r="I402" s="17" t="s">
        <v>80</v>
      </c>
      <c r="J402" s="17" t="s">
        <v>183</v>
      </c>
      <c r="K402" s="17"/>
      <c r="L402" s="17"/>
      <c r="M402" s="16" t="str">
        <f>HYPERLINK("http://slimages.macys.com/is/image/MCY/18940894 ")</f>
        <v xml:space="preserve">http://slimages.macys.com/is/image/MCY/18940894 </v>
      </c>
      <c r="N402" s="30"/>
    </row>
    <row r="403" spans="1:14" ht="60" x14ac:dyDescent="0.25">
      <c r="A403" s="19" t="s">
        <v>5584</v>
      </c>
      <c r="B403" s="17" t="s">
        <v>5583</v>
      </c>
      <c r="C403" s="20">
        <v>1</v>
      </c>
      <c r="D403" s="18">
        <v>34.299999999999997</v>
      </c>
      <c r="E403" s="20" t="s">
        <v>5582</v>
      </c>
      <c r="F403" s="17" t="s">
        <v>23</v>
      </c>
      <c r="G403" s="19" t="s">
        <v>197</v>
      </c>
      <c r="H403" s="18">
        <v>8.9466666666666672</v>
      </c>
      <c r="I403" s="17" t="s">
        <v>42</v>
      </c>
      <c r="J403" s="17" t="s">
        <v>41</v>
      </c>
      <c r="K403" s="17"/>
      <c r="L403" s="17"/>
      <c r="M403" s="16" t="str">
        <f>HYPERLINK("http://slimages.macys.com/is/image/MCY/18577979 ")</f>
        <v xml:space="preserve">http://slimages.macys.com/is/image/MCY/18577979 </v>
      </c>
      <c r="N403" s="30"/>
    </row>
    <row r="404" spans="1:14" ht="60" x14ac:dyDescent="0.25">
      <c r="A404" s="19" t="s">
        <v>7145</v>
      </c>
      <c r="B404" s="17" t="s">
        <v>7144</v>
      </c>
      <c r="C404" s="20">
        <v>1</v>
      </c>
      <c r="D404" s="18">
        <v>34.299999999999997</v>
      </c>
      <c r="E404" s="20" t="s">
        <v>7143</v>
      </c>
      <c r="F404" s="17" t="s">
        <v>58</v>
      </c>
      <c r="G404" s="19" t="s">
        <v>43</v>
      </c>
      <c r="H404" s="18">
        <v>8.9466666666666672</v>
      </c>
      <c r="I404" s="17" t="s">
        <v>42</v>
      </c>
      <c r="J404" s="17" t="s">
        <v>41</v>
      </c>
      <c r="K404" s="17"/>
      <c r="L404" s="17"/>
      <c r="M404" s="16" t="str">
        <f>HYPERLINK("http://slimages.macys.com/is/image/MCY/18545207 ")</f>
        <v xml:space="preserve">http://slimages.macys.com/is/image/MCY/18545207 </v>
      </c>
      <c r="N404" s="30"/>
    </row>
    <row r="405" spans="1:14" ht="60" x14ac:dyDescent="0.25">
      <c r="A405" s="19" t="s">
        <v>8152</v>
      </c>
      <c r="B405" s="17" t="s">
        <v>8151</v>
      </c>
      <c r="C405" s="20">
        <v>1</v>
      </c>
      <c r="D405" s="18">
        <v>34.299999999999997</v>
      </c>
      <c r="E405" s="20" t="s">
        <v>1617</v>
      </c>
      <c r="F405" s="17" t="s">
        <v>23</v>
      </c>
      <c r="G405" s="19" t="s">
        <v>74</v>
      </c>
      <c r="H405" s="18">
        <v>8.9466666666666672</v>
      </c>
      <c r="I405" s="17" t="s">
        <v>42</v>
      </c>
      <c r="J405" s="17" t="s">
        <v>41</v>
      </c>
      <c r="K405" s="17"/>
      <c r="L405" s="17"/>
      <c r="M405" s="16" t="str">
        <f>HYPERLINK("http://slimages.macys.com/is/image/MCY/18757258 ")</f>
        <v xml:space="preserve">http://slimages.macys.com/is/image/MCY/18757258 </v>
      </c>
      <c r="N405" s="30"/>
    </row>
    <row r="406" spans="1:14" ht="60" x14ac:dyDescent="0.25">
      <c r="A406" s="19" t="s">
        <v>8150</v>
      </c>
      <c r="B406" s="17" t="s">
        <v>8149</v>
      </c>
      <c r="C406" s="20">
        <v>1</v>
      </c>
      <c r="D406" s="18">
        <v>50</v>
      </c>
      <c r="E406" s="20" t="s">
        <v>8148</v>
      </c>
      <c r="F406" s="17" t="s">
        <v>51</v>
      </c>
      <c r="G406" s="19" t="s">
        <v>17</v>
      </c>
      <c r="H406" s="18">
        <v>8.913333333333334</v>
      </c>
      <c r="I406" s="17" t="s">
        <v>16</v>
      </c>
      <c r="J406" s="17" t="s">
        <v>15</v>
      </c>
      <c r="K406" s="17"/>
      <c r="L406" s="17"/>
      <c r="M406" s="16" t="str">
        <f>HYPERLINK("http://slimages.macys.com/is/image/MCY/18263295 ")</f>
        <v xml:space="preserve">http://slimages.macys.com/is/image/MCY/18263295 </v>
      </c>
      <c r="N406" s="30"/>
    </row>
    <row r="407" spans="1:14" ht="60" x14ac:dyDescent="0.25">
      <c r="A407" s="19" t="s">
        <v>8147</v>
      </c>
      <c r="B407" s="17" t="s">
        <v>8146</v>
      </c>
      <c r="C407" s="20">
        <v>1</v>
      </c>
      <c r="D407" s="18">
        <v>39</v>
      </c>
      <c r="E407" s="20" t="s">
        <v>8145</v>
      </c>
      <c r="F407" s="17" t="s">
        <v>149</v>
      </c>
      <c r="G407" s="19" t="s">
        <v>50</v>
      </c>
      <c r="H407" s="18">
        <v>8.6066666666666674</v>
      </c>
      <c r="I407" s="17" t="s">
        <v>49</v>
      </c>
      <c r="J407" s="17" t="s">
        <v>48</v>
      </c>
      <c r="K407" s="17"/>
      <c r="L407" s="17"/>
      <c r="M407" s="16" t="str">
        <f>HYPERLINK("http://slimages.macys.com/is/image/MCY/18901728 ")</f>
        <v xml:space="preserve">http://slimages.macys.com/is/image/MCY/18901728 </v>
      </c>
      <c r="N407" s="30"/>
    </row>
    <row r="408" spans="1:14" ht="60" x14ac:dyDescent="0.25">
      <c r="A408" s="19" t="s">
        <v>8144</v>
      </c>
      <c r="B408" s="17" t="s">
        <v>8143</v>
      </c>
      <c r="C408" s="20">
        <v>1</v>
      </c>
      <c r="D408" s="18">
        <v>39</v>
      </c>
      <c r="E408" s="20" t="s">
        <v>5562</v>
      </c>
      <c r="F408" s="17" t="s">
        <v>149</v>
      </c>
      <c r="G408" s="19" t="s">
        <v>101</v>
      </c>
      <c r="H408" s="18">
        <v>8.6066666666666674</v>
      </c>
      <c r="I408" s="17" t="s">
        <v>49</v>
      </c>
      <c r="J408" s="17" t="s">
        <v>48</v>
      </c>
      <c r="K408" s="17"/>
      <c r="L408" s="17"/>
      <c r="M408" s="16" t="str">
        <f>HYPERLINK("http://slimages.macys.com/is/image/MCY/18774728 ")</f>
        <v xml:space="preserve">http://slimages.macys.com/is/image/MCY/18774728 </v>
      </c>
      <c r="N408" s="30"/>
    </row>
    <row r="409" spans="1:14" ht="60" x14ac:dyDescent="0.25">
      <c r="A409" s="19" t="s">
        <v>8142</v>
      </c>
      <c r="B409" s="17" t="s">
        <v>8141</v>
      </c>
      <c r="C409" s="20">
        <v>3</v>
      </c>
      <c r="D409" s="18">
        <v>44.5</v>
      </c>
      <c r="E409" s="20" t="s">
        <v>4238</v>
      </c>
      <c r="F409" s="17" t="s">
        <v>23</v>
      </c>
      <c r="G409" s="19" t="s">
        <v>139</v>
      </c>
      <c r="H409" s="18">
        <v>8.379999999999999</v>
      </c>
      <c r="I409" s="17" t="s">
        <v>1891</v>
      </c>
      <c r="J409" s="17" t="s">
        <v>67</v>
      </c>
      <c r="K409" s="17"/>
      <c r="L409" s="17"/>
      <c r="M409" s="16" t="str">
        <f>HYPERLINK("http://slimages.macys.com/is/image/MCY/16862075 ")</f>
        <v xml:space="preserve">http://slimages.macys.com/is/image/MCY/16862075 </v>
      </c>
      <c r="N409" s="30"/>
    </row>
    <row r="410" spans="1:14" ht="60" x14ac:dyDescent="0.25">
      <c r="A410" s="19" t="s">
        <v>8140</v>
      </c>
      <c r="B410" s="17" t="s">
        <v>8139</v>
      </c>
      <c r="C410" s="20">
        <v>1</v>
      </c>
      <c r="D410" s="18">
        <v>44.5</v>
      </c>
      <c r="E410" s="20" t="s">
        <v>8134</v>
      </c>
      <c r="F410" s="17" t="s">
        <v>23</v>
      </c>
      <c r="G410" s="19" t="s">
        <v>57</v>
      </c>
      <c r="H410" s="18">
        <v>8.379999999999999</v>
      </c>
      <c r="I410" s="17" t="s">
        <v>68</v>
      </c>
      <c r="J410" s="17" t="s">
        <v>67</v>
      </c>
      <c r="K410" s="17"/>
      <c r="L410" s="17"/>
      <c r="M410" s="16" t="str">
        <f>HYPERLINK("http://slimages.macys.com/is/image/MCY/18863481 ")</f>
        <v xml:space="preserve">http://slimages.macys.com/is/image/MCY/18863481 </v>
      </c>
      <c r="N410" s="30"/>
    </row>
    <row r="411" spans="1:14" ht="60" x14ac:dyDescent="0.25">
      <c r="A411" s="19" t="s">
        <v>8138</v>
      </c>
      <c r="B411" s="17" t="s">
        <v>8137</v>
      </c>
      <c r="C411" s="20">
        <v>2</v>
      </c>
      <c r="D411" s="18">
        <v>44.5</v>
      </c>
      <c r="E411" s="20" t="s">
        <v>4238</v>
      </c>
      <c r="F411" s="17" t="s">
        <v>23</v>
      </c>
      <c r="G411" s="19" t="s">
        <v>271</v>
      </c>
      <c r="H411" s="18">
        <v>8.379999999999999</v>
      </c>
      <c r="I411" s="17" t="s">
        <v>1891</v>
      </c>
      <c r="J411" s="17" t="s">
        <v>67</v>
      </c>
      <c r="K411" s="17"/>
      <c r="L411" s="17"/>
      <c r="M411" s="16" t="str">
        <f>HYPERLINK("http://slimages.macys.com/is/image/MCY/16862075 ")</f>
        <v xml:space="preserve">http://slimages.macys.com/is/image/MCY/16862075 </v>
      </c>
      <c r="N411" s="30"/>
    </row>
    <row r="412" spans="1:14" ht="60" x14ac:dyDescent="0.25">
      <c r="A412" s="19" t="s">
        <v>8136</v>
      </c>
      <c r="B412" s="17" t="s">
        <v>8135</v>
      </c>
      <c r="C412" s="20">
        <v>1</v>
      </c>
      <c r="D412" s="18">
        <v>44.5</v>
      </c>
      <c r="E412" s="20" t="s">
        <v>8134</v>
      </c>
      <c r="F412" s="17" t="s">
        <v>23</v>
      </c>
      <c r="G412" s="19" t="s">
        <v>74</v>
      </c>
      <c r="H412" s="18">
        <v>8.379999999999999</v>
      </c>
      <c r="I412" s="17" t="s">
        <v>68</v>
      </c>
      <c r="J412" s="17" t="s">
        <v>67</v>
      </c>
      <c r="K412" s="17"/>
      <c r="L412" s="17"/>
      <c r="M412" s="16" t="str">
        <f>HYPERLINK("http://slimages.macys.com/is/image/MCY/18863481 ")</f>
        <v xml:space="preserve">http://slimages.macys.com/is/image/MCY/18863481 </v>
      </c>
      <c r="N412" s="30"/>
    </row>
    <row r="413" spans="1:14" ht="60" x14ac:dyDescent="0.25">
      <c r="A413" s="19" t="s">
        <v>4235</v>
      </c>
      <c r="B413" s="17" t="s">
        <v>4234</v>
      </c>
      <c r="C413" s="20">
        <v>1</v>
      </c>
      <c r="D413" s="18">
        <v>50</v>
      </c>
      <c r="E413" s="20">
        <v>30136795</v>
      </c>
      <c r="F413" s="17" t="s">
        <v>282</v>
      </c>
      <c r="G413" s="19" t="s">
        <v>857</v>
      </c>
      <c r="H413" s="18">
        <v>8.3333333333333339</v>
      </c>
      <c r="I413" s="17" t="s">
        <v>1777</v>
      </c>
      <c r="J413" s="17" t="s">
        <v>1776</v>
      </c>
      <c r="K413" s="17"/>
      <c r="L413" s="17"/>
      <c r="M413" s="16" t="str">
        <f>HYPERLINK("http://slimages.macys.com/is/image/MCY/18284959 ")</f>
        <v xml:space="preserve">http://slimages.macys.com/is/image/MCY/18284959 </v>
      </c>
      <c r="N413" s="30"/>
    </row>
    <row r="414" spans="1:14" ht="60" x14ac:dyDescent="0.25">
      <c r="A414" s="19" t="s">
        <v>8133</v>
      </c>
      <c r="B414" s="17" t="s">
        <v>8132</v>
      </c>
      <c r="C414" s="20">
        <v>1</v>
      </c>
      <c r="D414" s="18">
        <v>50</v>
      </c>
      <c r="E414" s="20">
        <v>30136795</v>
      </c>
      <c r="F414" s="17" t="s">
        <v>282</v>
      </c>
      <c r="G414" s="19" t="s">
        <v>898</v>
      </c>
      <c r="H414" s="18">
        <v>8.3333333333333339</v>
      </c>
      <c r="I414" s="17" t="s">
        <v>1777</v>
      </c>
      <c r="J414" s="17" t="s">
        <v>1776</v>
      </c>
      <c r="K414" s="17"/>
      <c r="L414" s="17"/>
      <c r="M414" s="16" t="str">
        <f>HYPERLINK("http://slimages.macys.com/is/image/MCY/18284959 ")</f>
        <v xml:space="preserve">http://slimages.macys.com/is/image/MCY/18284959 </v>
      </c>
      <c r="N414" s="30"/>
    </row>
    <row r="415" spans="1:14" ht="60" x14ac:dyDescent="0.25">
      <c r="A415" s="19" t="s">
        <v>8131</v>
      </c>
      <c r="B415" s="17" t="s">
        <v>8130</v>
      </c>
      <c r="C415" s="20">
        <v>1</v>
      </c>
      <c r="D415" s="18">
        <v>50</v>
      </c>
      <c r="E415" s="20">
        <v>30136795</v>
      </c>
      <c r="F415" s="17" t="s">
        <v>51</v>
      </c>
      <c r="G415" s="19" t="s">
        <v>96</v>
      </c>
      <c r="H415" s="18">
        <v>8.3333333333333339</v>
      </c>
      <c r="I415" s="17" t="s">
        <v>1777</v>
      </c>
      <c r="J415" s="17" t="s">
        <v>1776</v>
      </c>
      <c r="K415" s="17"/>
      <c r="L415" s="17"/>
      <c r="M415" s="16" t="str">
        <f>HYPERLINK("http://slimages.macys.com/is/image/MCY/18284959 ")</f>
        <v xml:space="preserve">http://slimages.macys.com/is/image/MCY/18284959 </v>
      </c>
      <c r="N415" s="30"/>
    </row>
    <row r="416" spans="1:14" ht="60" x14ac:dyDescent="0.25">
      <c r="A416" s="19" t="s">
        <v>8129</v>
      </c>
      <c r="B416" s="17" t="s">
        <v>8128</v>
      </c>
      <c r="C416" s="20">
        <v>1</v>
      </c>
      <c r="D416" s="18">
        <v>49</v>
      </c>
      <c r="E416" s="20">
        <v>8150647</v>
      </c>
      <c r="F416" s="17" t="s">
        <v>508</v>
      </c>
      <c r="G416" s="19" t="s">
        <v>62</v>
      </c>
      <c r="H416" s="18">
        <v>8.1666666666666679</v>
      </c>
      <c r="I416" s="17" t="s">
        <v>129</v>
      </c>
      <c r="J416" s="17" t="s">
        <v>128</v>
      </c>
      <c r="K416" s="17"/>
      <c r="L416" s="17"/>
      <c r="M416" s="16" t="str">
        <f>HYPERLINK("http://slimages.macys.com/is/image/MCY/18150353 ")</f>
        <v xml:space="preserve">http://slimages.macys.com/is/image/MCY/18150353 </v>
      </c>
      <c r="N416" s="30"/>
    </row>
    <row r="417" spans="1:14" ht="60" x14ac:dyDescent="0.25">
      <c r="A417" s="19" t="s">
        <v>8127</v>
      </c>
      <c r="B417" s="17" t="s">
        <v>8126</v>
      </c>
      <c r="C417" s="20">
        <v>1</v>
      </c>
      <c r="D417" s="18">
        <v>59</v>
      </c>
      <c r="E417" s="20">
        <v>10773158</v>
      </c>
      <c r="F417" s="17" t="s">
        <v>390</v>
      </c>
      <c r="G417" s="19" t="s">
        <v>351</v>
      </c>
      <c r="H417" s="18">
        <v>8.1666666666666679</v>
      </c>
      <c r="I417" s="17" t="s">
        <v>1307</v>
      </c>
      <c r="J417" s="17" t="s">
        <v>1306</v>
      </c>
      <c r="K417" s="17"/>
      <c r="L417" s="17"/>
      <c r="M417" s="16" t="str">
        <f>HYPERLINK("http://slimages.macys.com/is/image/MCY/18703447 ")</f>
        <v xml:space="preserve">http://slimages.macys.com/is/image/MCY/18703447 </v>
      </c>
      <c r="N417" s="30"/>
    </row>
    <row r="418" spans="1:14" ht="60" x14ac:dyDescent="0.25">
      <c r="A418" s="19" t="s">
        <v>8125</v>
      </c>
      <c r="B418" s="17" t="s">
        <v>8124</v>
      </c>
      <c r="C418" s="20">
        <v>1</v>
      </c>
      <c r="D418" s="18">
        <v>48</v>
      </c>
      <c r="E418" s="20">
        <v>30136600</v>
      </c>
      <c r="F418" s="17" t="s">
        <v>282</v>
      </c>
      <c r="G418" s="19" t="s">
        <v>898</v>
      </c>
      <c r="H418" s="18">
        <v>8</v>
      </c>
      <c r="I418" s="17" t="s">
        <v>1777</v>
      </c>
      <c r="J418" s="17" t="s">
        <v>1776</v>
      </c>
      <c r="K418" s="17"/>
      <c r="L418" s="17"/>
      <c r="M418" s="16" t="str">
        <f>HYPERLINK("http://slimages.macys.com/is/image/MCY/18504397 ")</f>
        <v xml:space="preserve">http://slimages.macys.com/is/image/MCY/18504397 </v>
      </c>
      <c r="N418" s="30"/>
    </row>
    <row r="419" spans="1:14" ht="60" x14ac:dyDescent="0.25">
      <c r="A419" s="19" t="s">
        <v>8123</v>
      </c>
      <c r="B419" s="17" t="s">
        <v>8122</v>
      </c>
      <c r="C419" s="20">
        <v>1</v>
      </c>
      <c r="D419" s="18">
        <v>59.5</v>
      </c>
      <c r="E419" s="20" t="s">
        <v>8121</v>
      </c>
      <c r="F419" s="17" t="s">
        <v>216</v>
      </c>
      <c r="G419" s="19" t="s">
        <v>773</v>
      </c>
      <c r="H419" s="18">
        <v>7.9333333333333336</v>
      </c>
      <c r="I419" s="17" t="s">
        <v>68</v>
      </c>
      <c r="J419" s="17" t="s">
        <v>67</v>
      </c>
      <c r="K419" s="17" t="s">
        <v>389</v>
      </c>
      <c r="L419" s="17" t="s">
        <v>1804</v>
      </c>
      <c r="M419" s="16" t="str">
        <f>HYPERLINK("http://slimages.macys.com/is/image/MCY/11580280 ")</f>
        <v xml:space="preserve">http://slimages.macys.com/is/image/MCY/11580280 </v>
      </c>
      <c r="N419" s="30"/>
    </row>
    <row r="420" spans="1:14" ht="60" x14ac:dyDescent="0.25">
      <c r="A420" s="19" t="s">
        <v>8120</v>
      </c>
      <c r="B420" s="17" t="s">
        <v>8119</v>
      </c>
      <c r="C420" s="20">
        <v>1</v>
      </c>
      <c r="D420" s="18">
        <v>30</v>
      </c>
      <c r="E420" s="20" t="s">
        <v>1029</v>
      </c>
      <c r="F420" s="17" t="s">
        <v>51</v>
      </c>
      <c r="G420" s="19" t="s">
        <v>22</v>
      </c>
      <c r="H420" s="18">
        <v>7.8666666666666663</v>
      </c>
      <c r="I420" s="17" t="s">
        <v>16</v>
      </c>
      <c r="J420" s="17" t="s">
        <v>15</v>
      </c>
      <c r="K420" s="17"/>
      <c r="L420" s="17"/>
      <c r="M420" s="16" t="str">
        <f>HYPERLINK("http://slimages.macys.com/is/image/MCY/19025678 ")</f>
        <v xml:space="preserve">http://slimages.macys.com/is/image/MCY/19025678 </v>
      </c>
      <c r="N420" s="30"/>
    </row>
    <row r="421" spans="1:14" ht="60" x14ac:dyDescent="0.25">
      <c r="A421" s="19" t="s">
        <v>8118</v>
      </c>
      <c r="B421" s="17" t="s">
        <v>8117</v>
      </c>
      <c r="C421" s="20">
        <v>1</v>
      </c>
      <c r="D421" s="18">
        <v>30</v>
      </c>
      <c r="E421" s="20" t="s">
        <v>8116</v>
      </c>
      <c r="F421" s="17" t="s">
        <v>51</v>
      </c>
      <c r="G421" s="19" t="s">
        <v>17</v>
      </c>
      <c r="H421" s="18">
        <v>7.84</v>
      </c>
      <c r="I421" s="17" t="s">
        <v>16</v>
      </c>
      <c r="J421" s="17" t="s">
        <v>15</v>
      </c>
      <c r="K421" s="17"/>
      <c r="L421" s="17"/>
      <c r="M421" s="16" t="str">
        <f>HYPERLINK("http://slimages.macys.com/is/image/MCY/18518270 ")</f>
        <v xml:space="preserve">http://slimages.macys.com/is/image/MCY/18518270 </v>
      </c>
      <c r="N421" s="30"/>
    </row>
    <row r="422" spans="1:14" ht="60" x14ac:dyDescent="0.25">
      <c r="A422" s="19" t="s">
        <v>8115</v>
      </c>
      <c r="B422" s="17" t="s">
        <v>8114</v>
      </c>
      <c r="C422" s="20">
        <v>2</v>
      </c>
      <c r="D422" s="18">
        <v>49</v>
      </c>
      <c r="E422" s="20">
        <v>2399300</v>
      </c>
      <c r="F422" s="17" t="s">
        <v>28</v>
      </c>
      <c r="G422" s="19" t="s">
        <v>857</v>
      </c>
      <c r="H422" s="18">
        <v>7.8333333333333339</v>
      </c>
      <c r="I422" s="17" t="s">
        <v>80</v>
      </c>
      <c r="J422" s="17" t="s">
        <v>293</v>
      </c>
      <c r="K422" s="17"/>
      <c r="L422" s="17"/>
      <c r="M422" s="16" t="str">
        <f>HYPERLINK("http://slimages.macys.com/is/image/MCY/18605581 ")</f>
        <v xml:space="preserve">http://slimages.macys.com/is/image/MCY/18605581 </v>
      </c>
      <c r="N422" s="30"/>
    </row>
    <row r="423" spans="1:14" ht="60" x14ac:dyDescent="0.25">
      <c r="A423" s="19" t="s">
        <v>8113</v>
      </c>
      <c r="B423" s="17" t="s">
        <v>8112</v>
      </c>
      <c r="C423" s="20">
        <v>1</v>
      </c>
      <c r="D423" s="18">
        <v>49</v>
      </c>
      <c r="E423" s="20">
        <v>2399300</v>
      </c>
      <c r="F423" s="17" t="s">
        <v>91</v>
      </c>
      <c r="G423" s="19" t="s">
        <v>898</v>
      </c>
      <c r="H423" s="18">
        <v>7.8333333333333339</v>
      </c>
      <c r="I423" s="17" t="s">
        <v>80</v>
      </c>
      <c r="J423" s="17" t="s">
        <v>293</v>
      </c>
      <c r="K423" s="17"/>
      <c r="L423" s="17"/>
      <c r="M423" s="16" t="str">
        <f>HYPERLINK("http://slimages.macys.com/is/image/MCY/18333616 ")</f>
        <v xml:space="preserve">http://slimages.macys.com/is/image/MCY/18333616 </v>
      </c>
      <c r="N423" s="30"/>
    </row>
    <row r="424" spans="1:14" ht="60" x14ac:dyDescent="0.25">
      <c r="A424" s="19" t="s">
        <v>8111</v>
      </c>
      <c r="B424" s="17" t="s">
        <v>8110</v>
      </c>
      <c r="C424" s="20">
        <v>1</v>
      </c>
      <c r="D424" s="18">
        <v>49</v>
      </c>
      <c r="E424" s="20">
        <v>2399300</v>
      </c>
      <c r="F424" s="17" t="s">
        <v>91</v>
      </c>
      <c r="G424" s="19" t="s">
        <v>96</v>
      </c>
      <c r="H424" s="18">
        <v>7.8333333333333339</v>
      </c>
      <c r="I424" s="17" t="s">
        <v>80</v>
      </c>
      <c r="J424" s="17" t="s">
        <v>293</v>
      </c>
      <c r="K424" s="17"/>
      <c r="L424" s="17"/>
      <c r="M424" s="16" t="str">
        <f>HYPERLINK("http://slimages.macys.com/is/image/MCY/18605581 ")</f>
        <v xml:space="preserve">http://slimages.macys.com/is/image/MCY/18605581 </v>
      </c>
      <c r="N424" s="30"/>
    </row>
    <row r="425" spans="1:14" ht="60" x14ac:dyDescent="0.25">
      <c r="A425" s="19" t="s">
        <v>8109</v>
      </c>
      <c r="B425" s="17" t="s">
        <v>8108</v>
      </c>
      <c r="C425" s="20">
        <v>1</v>
      </c>
      <c r="D425" s="18">
        <v>49</v>
      </c>
      <c r="E425" s="20">
        <v>2399300</v>
      </c>
      <c r="F425" s="17" t="s">
        <v>28</v>
      </c>
      <c r="G425" s="19" t="s">
        <v>658</v>
      </c>
      <c r="H425" s="18">
        <v>7.8333333333333339</v>
      </c>
      <c r="I425" s="17" t="s">
        <v>80</v>
      </c>
      <c r="J425" s="17" t="s">
        <v>293</v>
      </c>
      <c r="K425" s="17"/>
      <c r="L425" s="17"/>
      <c r="M425" s="16" t="str">
        <f>HYPERLINK("http://slimages.macys.com/is/image/MCY/18333803 ")</f>
        <v xml:space="preserve">http://slimages.macys.com/is/image/MCY/18333803 </v>
      </c>
      <c r="N425" s="30"/>
    </row>
    <row r="426" spans="1:14" ht="60" x14ac:dyDescent="0.25">
      <c r="A426" s="19" t="s">
        <v>8107</v>
      </c>
      <c r="B426" s="17" t="s">
        <v>8106</v>
      </c>
      <c r="C426" s="20">
        <v>1</v>
      </c>
      <c r="D426" s="18">
        <v>49</v>
      </c>
      <c r="E426" s="20">
        <v>2399300</v>
      </c>
      <c r="F426" s="17" t="s">
        <v>23</v>
      </c>
      <c r="G426" s="19" t="s">
        <v>857</v>
      </c>
      <c r="H426" s="18">
        <v>7.8333333333333339</v>
      </c>
      <c r="I426" s="17" t="s">
        <v>80</v>
      </c>
      <c r="J426" s="17" t="s">
        <v>293</v>
      </c>
      <c r="K426" s="17"/>
      <c r="L426" s="17"/>
      <c r="M426" s="16" t="str">
        <f>HYPERLINK("http://slimages.macys.com/is/image/MCY/18333803 ")</f>
        <v xml:space="preserve">http://slimages.macys.com/is/image/MCY/18333803 </v>
      </c>
      <c r="N426" s="30"/>
    </row>
    <row r="427" spans="1:14" ht="60" x14ac:dyDescent="0.25">
      <c r="A427" s="19" t="s">
        <v>8105</v>
      </c>
      <c r="B427" s="17" t="s">
        <v>8104</v>
      </c>
      <c r="C427" s="20">
        <v>1</v>
      </c>
      <c r="D427" s="18">
        <v>49</v>
      </c>
      <c r="E427" s="20">
        <v>2399300</v>
      </c>
      <c r="F427" s="17" t="s">
        <v>23</v>
      </c>
      <c r="G427" s="19" t="s">
        <v>698</v>
      </c>
      <c r="H427" s="18">
        <v>7.8333333333333339</v>
      </c>
      <c r="I427" s="17" t="s">
        <v>80</v>
      </c>
      <c r="J427" s="17" t="s">
        <v>293</v>
      </c>
      <c r="K427" s="17"/>
      <c r="L427" s="17"/>
      <c r="M427" s="16" t="str">
        <f>HYPERLINK("http://slimages.macys.com/is/image/MCY/18605581 ")</f>
        <v xml:space="preserve">http://slimages.macys.com/is/image/MCY/18605581 </v>
      </c>
      <c r="N427" s="30"/>
    </row>
    <row r="428" spans="1:14" ht="60" x14ac:dyDescent="0.25">
      <c r="A428" s="19" t="s">
        <v>8103</v>
      </c>
      <c r="B428" s="17" t="s">
        <v>8102</v>
      </c>
      <c r="C428" s="20">
        <v>1</v>
      </c>
      <c r="D428" s="18">
        <v>49</v>
      </c>
      <c r="E428" s="20">
        <v>2399300</v>
      </c>
      <c r="F428" s="17" t="s">
        <v>91</v>
      </c>
      <c r="G428" s="19" t="s">
        <v>116</v>
      </c>
      <c r="H428" s="18">
        <v>7.8333333333333339</v>
      </c>
      <c r="I428" s="17" t="s">
        <v>80</v>
      </c>
      <c r="J428" s="17" t="s">
        <v>293</v>
      </c>
      <c r="K428" s="17"/>
      <c r="L428" s="17"/>
      <c r="M428" s="16" t="str">
        <f>HYPERLINK("http://slimages.macys.com/is/image/MCY/18333803 ")</f>
        <v xml:space="preserve">http://slimages.macys.com/is/image/MCY/18333803 </v>
      </c>
      <c r="N428" s="30"/>
    </row>
    <row r="429" spans="1:14" ht="60" x14ac:dyDescent="0.25">
      <c r="A429" s="19" t="s">
        <v>8101</v>
      </c>
      <c r="B429" s="17" t="s">
        <v>8100</v>
      </c>
      <c r="C429" s="20">
        <v>2</v>
      </c>
      <c r="D429" s="18">
        <v>45</v>
      </c>
      <c r="E429" s="20" t="s">
        <v>8097</v>
      </c>
      <c r="F429" s="17" t="s">
        <v>85</v>
      </c>
      <c r="G429" s="19" t="s">
        <v>22</v>
      </c>
      <c r="H429" s="18">
        <v>7.78</v>
      </c>
      <c r="I429" s="17" t="s">
        <v>16</v>
      </c>
      <c r="J429" s="17" t="s">
        <v>15</v>
      </c>
      <c r="K429" s="17"/>
      <c r="L429" s="17"/>
      <c r="M429" s="16" t="str">
        <f>HYPERLINK("http://slimages.macys.com/is/image/MCY/18918517 ")</f>
        <v xml:space="preserve">http://slimages.macys.com/is/image/MCY/18918517 </v>
      </c>
      <c r="N429" s="30"/>
    </row>
    <row r="430" spans="1:14" ht="60" x14ac:dyDescent="0.25">
      <c r="A430" s="19" t="s">
        <v>8099</v>
      </c>
      <c r="B430" s="17" t="s">
        <v>8098</v>
      </c>
      <c r="C430" s="20">
        <v>1</v>
      </c>
      <c r="D430" s="18">
        <v>45</v>
      </c>
      <c r="E430" s="20" t="s">
        <v>8097</v>
      </c>
      <c r="F430" s="17" t="s">
        <v>85</v>
      </c>
      <c r="G430" s="19" t="s">
        <v>50</v>
      </c>
      <c r="H430" s="18">
        <v>7.78</v>
      </c>
      <c r="I430" s="17" t="s">
        <v>16</v>
      </c>
      <c r="J430" s="17" t="s">
        <v>15</v>
      </c>
      <c r="K430" s="17"/>
      <c r="L430" s="17"/>
      <c r="M430" s="16" t="str">
        <f>HYPERLINK("http://slimages.macys.com/is/image/MCY/17417522 ")</f>
        <v xml:space="preserve">http://slimages.macys.com/is/image/MCY/17417522 </v>
      </c>
      <c r="N430" s="30"/>
    </row>
    <row r="431" spans="1:14" ht="60" x14ac:dyDescent="0.25">
      <c r="A431" s="19" t="s">
        <v>8096</v>
      </c>
      <c r="B431" s="17" t="s">
        <v>8095</v>
      </c>
      <c r="C431" s="20">
        <v>1</v>
      </c>
      <c r="D431" s="18">
        <v>34</v>
      </c>
      <c r="E431" s="20" t="s">
        <v>8094</v>
      </c>
      <c r="F431" s="17" t="s">
        <v>149</v>
      </c>
      <c r="G431" s="19" t="s">
        <v>22</v>
      </c>
      <c r="H431" s="18">
        <v>7.6133333333333333</v>
      </c>
      <c r="I431" s="17" t="s">
        <v>49</v>
      </c>
      <c r="J431" s="17" t="s">
        <v>48</v>
      </c>
      <c r="K431" s="17"/>
      <c r="L431" s="17"/>
      <c r="M431" s="16" t="str">
        <f>HYPERLINK("http://slimages.macys.com/is/image/MCY/20060452 ")</f>
        <v xml:space="preserve">http://slimages.macys.com/is/image/MCY/20060452 </v>
      </c>
      <c r="N431" s="30"/>
    </row>
    <row r="432" spans="1:14" ht="60" x14ac:dyDescent="0.25">
      <c r="A432" s="19" t="s">
        <v>8093</v>
      </c>
      <c r="B432" s="17" t="s">
        <v>8092</v>
      </c>
      <c r="C432" s="20">
        <v>1</v>
      </c>
      <c r="D432" s="18">
        <v>49</v>
      </c>
      <c r="E432" s="20">
        <v>2331301</v>
      </c>
      <c r="F432" s="17" t="s">
        <v>1022</v>
      </c>
      <c r="G432" s="19" t="s">
        <v>50</v>
      </c>
      <c r="H432" s="18">
        <v>7.5</v>
      </c>
      <c r="I432" s="17" t="s">
        <v>80</v>
      </c>
      <c r="J432" s="17" t="s">
        <v>293</v>
      </c>
      <c r="K432" s="17"/>
      <c r="L432" s="17"/>
      <c r="M432" s="16" t="str">
        <f>HYPERLINK("http://slimages.macys.com/is/image/MCY/19223403 ")</f>
        <v xml:space="preserve">http://slimages.macys.com/is/image/MCY/19223403 </v>
      </c>
      <c r="N432" s="30"/>
    </row>
    <row r="433" spans="1:14" ht="60" x14ac:dyDescent="0.25">
      <c r="A433" s="19" t="s">
        <v>3313</v>
      </c>
      <c r="B433" s="17" t="s">
        <v>3312</v>
      </c>
      <c r="C433" s="20">
        <v>2</v>
      </c>
      <c r="D433" s="18">
        <v>49</v>
      </c>
      <c r="E433" s="20">
        <v>2331301</v>
      </c>
      <c r="F433" s="17" t="s">
        <v>28</v>
      </c>
      <c r="G433" s="19" t="s">
        <v>17</v>
      </c>
      <c r="H433" s="18">
        <v>7.5</v>
      </c>
      <c r="I433" s="17" t="s">
        <v>80</v>
      </c>
      <c r="J433" s="17" t="s">
        <v>293</v>
      </c>
      <c r="K433" s="17"/>
      <c r="L433" s="17"/>
      <c r="M433" s="16" t="str">
        <f>HYPERLINK("http://slimages.macys.com/is/image/MCY/19223403 ")</f>
        <v xml:space="preserve">http://slimages.macys.com/is/image/MCY/19223403 </v>
      </c>
      <c r="N433" s="30"/>
    </row>
    <row r="434" spans="1:14" ht="60" x14ac:dyDescent="0.25">
      <c r="A434" s="19" t="s">
        <v>8091</v>
      </c>
      <c r="B434" s="17" t="s">
        <v>8090</v>
      </c>
      <c r="C434" s="20">
        <v>2</v>
      </c>
      <c r="D434" s="18">
        <v>49</v>
      </c>
      <c r="E434" s="20">
        <v>2331301</v>
      </c>
      <c r="F434" s="17" t="s">
        <v>124</v>
      </c>
      <c r="G434" s="19" t="s">
        <v>50</v>
      </c>
      <c r="H434" s="18">
        <v>7.5</v>
      </c>
      <c r="I434" s="17" t="s">
        <v>80</v>
      </c>
      <c r="J434" s="17" t="s">
        <v>293</v>
      </c>
      <c r="K434" s="17"/>
      <c r="L434" s="17"/>
      <c r="M434" s="16" t="str">
        <f>HYPERLINK("http://slimages.macys.com/is/image/MCY/19223516 ")</f>
        <v xml:space="preserve">http://slimages.macys.com/is/image/MCY/19223516 </v>
      </c>
      <c r="N434" s="30"/>
    </row>
    <row r="435" spans="1:14" ht="60" x14ac:dyDescent="0.25">
      <c r="A435" s="19" t="s">
        <v>8089</v>
      </c>
      <c r="B435" s="17" t="s">
        <v>8088</v>
      </c>
      <c r="C435" s="20">
        <v>1</v>
      </c>
      <c r="D435" s="18">
        <v>49</v>
      </c>
      <c r="E435" s="20">
        <v>2331035</v>
      </c>
      <c r="F435" s="17" t="s">
        <v>63</v>
      </c>
      <c r="G435" s="19" t="s">
        <v>22</v>
      </c>
      <c r="H435" s="18">
        <v>7.5</v>
      </c>
      <c r="I435" s="17" t="s">
        <v>80</v>
      </c>
      <c r="J435" s="17" t="s">
        <v>293</v>
      </c>
      <c r="K435" s="17"/>
      <c r="L435" s="17"/>
      <c r="M435" s="16" t="str">
        <f>HYPERLINK("http://slimages.macys.com/is/image/MCY/19455178 ")</f>
        <v xml:space="preserve">http://slimages.macys.com/is/image/MCY/19455178 </v>
      </c>
      <c r="N435" s="30"/>
    </row>
    <row r="436" spans="1:14" ht="60" x14ac:dyDescent="0.25">
      <c r="A436" s="19" t="s">
        <v>8087</v>
      </c>
      <c r="B436" s="17" t="s">
        <v>8086</v>
      </c>
      <c r="C436" s="20">
        <v>3</v>
      </c>
      <c r="D436" s="18">
        <v>49</v>
      </c>
      <c r="E436" s="20">
        <v>2331301</v>
      </c>
      <c r="F436" s="17" t="s">
        <v>23</v>
      </c>
      <c r="G436" s="19" t="s">
        <v>50</v>
      </c>
      <c r="H436" s="18">
        <v>7.5</v>
      </c>
      <c r="I436" s="17" t="s">
        <v>80</v>
      </c>
      <c r="J436" s="17" t="s">
        <v>293</v>
      </c>
      <c r="K436" s="17"/>
      <c r="L436" s="17"/>
      <c r="M436" s="16" t="str">
        <f>HYPERLINK("http://slimages.macys.com/is/image/MCY/19226269 ")</f>
        <v xml:space="preserve">http://slimages.macys.com/is/image/MCY/19226269 </v>
      </c>
      <c r="N436" s="30"/>
    </row>
    <row r="437" spans="1:14" ht="60" x14ac:dyDescent="0.25">
      <c r="A437" s="19" t="s">
        <v>8085</v>
      </c>
      <c r="B437" s="17" t="s">
        <v>8084</v>
      </c>
      <c r="C437" s="20">
        <v>3</v>
      </c>
      <c r="D437" s="18">
        <v>49</v>
      </c>
      <c r="E437" s="20">
        <v>2331301</v>
      </c>
      <c r="F437" s="17" t="s">
        <v>23</v>
      </c>
      <c r="G437" s="19" t="s">
        <v>17</v>
      </c>
      <c r="H437" s="18">
        <v>7.5</v>
      </c>
      <c r="I437" s="17" t="s">
        <v>80</v>
      </c>
      <c r="J437" s="17" t="s">
        <v>293</v>
      </c>
      <c r="K437" s="17"/>
      <c r="L437" s="17"/>
      <c r="M437" s="16" t="str">
        <f>HYPERLINK("http://slimages.macys.com/is/image/MCY/19226269 ")</f>
        <v xml:space="preserve">http://slimages.macys.com/is/image/MCY/19226269 </v>
      </c>
      <c r="N437" s="30"/>
    </row>
    <row r="438" spans="1:14" ht="60" x14ac:dyDescent="0.25">
      <c r="A438" s="19" t="s">
        <v>8083</v>
      </c>
      <c r="B438" s="17" t="s">
        <v>8082</v>
      </c>
      <c r="C438" s="20">
        <v>1</v>
      </c>
      <c r="D438" s="18">
        <v>49</v>
      </c>
      <c r="E438" s="20">
        <v>2331301</v>
      </c>
      <c r="F438" s="17" t="s">
        <v>23</v>
      </c>
      <c r="G438" s="19" t="s">
        <v>313</v>
      </c>
      <c r="H438" s="18">
        <v>7.5</v>
      </c>
      <c r="I438" s="17" t="s">
        <v>80</v>
      </c>
      <c r="J438" s="17" t="s">
        <v>293</v>
      </c>
      <c r="K438" s="17"/>
      <c r="L438" s="17"/>
      <c r="M438" s="16" t="str">
        <f>HYPERLINK("http://slimages.macys.com/is/image/MCY/19226269 ")</f>
        <v xml:space="preserve">http://slimages.macys.com/is/image/MCY/19226269 </v>
      </c>
      <c r="N438" s="30"/>
    </row>
    <row r="439" spans="1:14" ht="60" x14ac:dyDescent="0.25">
      <c r="A439" s="19" t="s">
        <v>8081</v>
      </c>
      <c r="B439" s="17" t="s">
        <v>8080</v>
      </c>
      <c r="C439" s="20">
        <v>1</v>
      </c>
      <c r="D439" s="18">
        <v>49</v>
      </c>
      <c r="E439" s="20">
        <v>2331035</v>
      </c>
      <c r="F439" s="17" t="s">
        <v>63</v>
      </c>
      <c r="G439" s="19" t="s">
        <v>101</v>
      </c>
      <c r="H439" s="18">
        <v>7.5</v>
      </c>
      <c r="I439" s="17" t="s">
        <v>80</v>
      </c>
      <c r="J439" s="17" t="s">
        <v>293</v>
      </c>
      <c r="K439" s="17"/>
      <c r="L439" s="17"/>
      <c r="M439" s="16" t="str">
        <f>HYPERLINK("http://slimages.macys.com/is/image/MCY/19455178 ")</f>
        <v xml:space="preserve">http://slimages.macys.com/is/image/MCY/19455178 </v>
      </c>
      <c r="N439" s="30"/>
    </row>
    <row r="440" spans="1:14" ht="60" x14ac:dyDescent="0.25">
      <c r="A440" s="19" t="s">
        <v>8079</v>
      </c>
      <c r="B440" s="17" t="s">
        <v>8078</v>
      </c>
      <c r="C440" s="20">
        <v>1</v>
      </c>
      <c r="D440" s="18">
        <v>34</v>
      </c>
      <c r="E440" s="20" t="s">
        <v>220</v>
      </c>
      <c r="F440" s="17" t="s">
        <v>3876</v>
      </c>
      <c r="G440" s="19" t="s">
        <v>22</v>
      </c>
      <c r="H440" s="18">
        <v>7.5</v>
      </c>
      <c r="I440" s="17" t="s">
        <v>49</v>
      </c>
      <c r="J440" s="17" t="s">
        <v>48</v>
      </c>
      <c r="K440" s="17"/>
      <c r="L440" s="17"/>
      <c r="M440" s="16" t="str">
        <f>HYPERLINK("http://slimages.macys.com/is/image/MCY/18535117 ")</f>
        <v xml:space="preserve">http://slimages.macys.com/is/image/MCY/18535117 </v>
      </c>
      <c r="N440" s="30"/>
    </row>
    <row r="441" spans="1:14" ht="60" x14ac:dyDescent="0.25">
      <c r="A441" s="19" t="s">
        <v>8077</v>
      </c>
      <c r="B441" s="17" t="s">
        <v>8076</v>
      </c>
      <c r="C441" s="20">
        <v>2</v>
      </c>
      <c r="D441" s="18">
        <v>49</v>
      </c>
      <c r="E441" s="20">
        <v>2331002</v>
      </c>
      <c r="F441" s="17" t="s">
        <v>23</v>
      </c>
      <c r="G441" s="19" t="s">
        <v>22</v>
      </c>
      <c r="H441" s="18">
        <v>7.5</v>
      </c>
      <c r="I441" s="17" t="s">
        <v>80</v>
      </c>
      <c r="J441" s="17" t="s">
        <v>293</v>
      </c>
      <c r="K441" s="17"/>
      <c r="L441" s="17"/>
      <c r="M441" s="16" t="str">
        <f>HYPERLINK("http://slimages.macys.com/is/image/MCY/19454909 ")</f>
        <v xml:space="preserve">http://slimages.macys.com/is/image/MCY/19454909 </v>
      </c>
      <c r="N441" s="30"/>
    </row>
    <row r="442" spans="1:14" ht="60" x14ac:dyDescent="0.25">
      <c r="A442" s="19" t="s">
        <v>8075</v>
      </c>
      <c r="B442" s="17" t="s">
        <v>8074</v>
      </c>
      <c r="C442" s="20">
        <v>1</v>
      </c>
      <c r="D442" s="18">
        <v>49</v>
      </c>
      <c r="E442" s="20">
        <v>2331301</v>
      </c>
      <c r="F442" s="17" t="s">
        <v>28</v>
      </c>
      <c r="G442" s="19" t="s">
        <v>101</v>
      </c>
      <c r="H442" s="18">
        <v>7.5</v>
      </c>
      <c r="I442" s="17" t="s">
        <v>80</v>
      </c>
      <c r="J442" s="17" t="s">
        <v>293</v>
      </c>
      <c r="K442" s="17"/>
      <c r="L442" s="17"/>
      <c r="M442" s="16" t="str">
        <f>HYPERLINK("http://slimages.macys.com/is/image/MCY/19223516 ")</f>
        <v xml:space="preserve">http://slimages.macys.com/is/image/MCY/19223516 </v>
      </c>
      <c r="N442" s="30"/>
    </row>
    <row r="443" spans="1:14" ht="60" x14ac:dyDescent="0.25">
      <c r="A443" s="19" t="s">
        <v>8073</v>
      </c>
      <c r="B443" s="17" t="s">
        <v>8072</v>
      </c>
      <c r="C443" s="20">
        <v>1</v>
      </c>
      <c r="D443" s="18">
        <v>49</v>
      </c>
      <c r="E443" s="20">
        <v>2331301</v>
      </c>
      <c r="F443" s="17" t="s">
        <v>1022</v>
      </c>
      <c r="G443" s="19" t="s">
        <v>17</v>
      </c>
      <c r="H443" s="18">
        <v>7.5</v>
      </c>
      <c r="I443" s="17" t="s">
        <v>80</v>
      </c>
      <c r="J443" s="17" t="s">
        <v>293</v>
      </c>
      <c r="K443" s="17"/>
      <c r="L443" s="17"/>
      <c r="M443" s="16" t="str">
        <f>HYPERLINK("http://slimages.macys.com/is/image/MCY/19223516 ")</f>
        <v xml:space="preserve">http://slimages.macys.com/is/image/MCY/19223516 </v>
      </c>
      <c r="N443" s="30"/>
    </row>
    <row r="444" spans="1:14" ht="60" x14ac:dyDescent="0.25">
      <c r="A444" s="19" t="s">
        <v>8071</v>
      </c>
      <c r="B444" s="17" t="s">
        <v>8070</v>
      </c>
      <c r="C444" s="20">
        <v>1</v>
      </c>
      <c r="D444" s="18">
        <v>49</v>
      </c>
      <c r="E444" s="20">
        <v>2331301</v>
      </c>
      <c r="F444" s="17" t="s">
        <v>23</v>
      </c>
      <c r="G444" s="19" t="s">
        <v>62</v>
      </c>
      <c r="H444" s="18">
        <v>7.5</v>
      </c>
      <c r="I444" s="17" t="s">
        <v>80</v>
      </c>
      <c r="J444" s="17" t="s">
        <v>293</v>
      </c>
      <c r="K444" s="17"/>
      <c r="L444" s="17"/>
      <c r="M444" s="16" t="str">
        <f>HYPERLINK("http://slimages.macys.com/is/image/MCY/19226269 ")</f>
        <v xml:space="preserve">http://slimages.macys.com/is/image/MCY/19226269 </v>
      </c>
      <c r="N444" s="30"/>
    </row>
    <row r="445" spans="1:14" ht="60" x14ac:dyDescent="0.25">
      <c r="A445" s="19" t="s">
        <v>8069</v>
      </c>
      <c r="B445" s="17" t="s">
        <v>8068</v>
      </c>
      <c r="C445" s="20">
        <v>1</v>
      </c>
      <c r="D445" s="18">
        <v>49</v>
      </c>
      <c r="E445" s="20">
        <v>2331301</v>
      </c>
      <c r="F445" s="17" t="s">
        <v>124</v>
      </c>
      <c r="G445" s="19" t="s">
        <v>313</v>
      </c>
      <c r="H445" s="18">
        <v>7.5</v>
      </c>
      <c r="I445" s="17" t="s">
        <v>80</v>
      </c>
      <c r="J445" s="17" t="s">
        <v>293</v>
      </c>
      <c r="K445" s="17"/>
      <c r="L445" s="17"/>
      <c r="M445" s="16" t="str">
        <f>HYPERLINK("http://slimages.macys.com/is/image/MCY/19223516 ")</f>
        <v xml:space="preserve">http://slimages.macys.com/is/image/MCY/19223516 </v>
      </c>
      <c r="N445" s="30"/>
    </row>
    <row r="446" spans="1:14" ht="60" x14ac:dyDescent="0.25">
      <c r="A446" s="19" t="s">
        <v>8067</v>
      </c>
      <c r="B446" s="17" t="s">
        <v>8066</v>
      </c>
      <c r="C446" s="20">
        <v>1</v>
      </c>
      <c r="D446" s="18">
        <v>49</v>
      </c>
      <c r="E446" s="20">
        <v>2331301</v>
      </c>
      <c r="F446" s="17" t="s">
        <v>1022</v>
      </c>
      <c r="G446" s="19" t="s">
        <v>62</v>
      </c>
      <c r="H446" s="18">
        <v>7.5</v>
      </c>
      <c r="I446" s="17" t="s">
        <v>80</v>
      </c>
      <c r="J446" s="17" t="s">
        <v>293</v>
      </c>
      <c r="K446" s="17"/>
      <c r="L446" s="17"/>
      <c r="M446" s="16" t="str">
        <f>HYPERLINK("http://slimages.macys.com/is/image/MCY/19223403 ")</f>
        <v xml:space="preserve">http://slimages.macys.com/is/image/MCY/19223403 </v>
      </c>
      <c r="N446" s="30"/>
    </row>
    <row r="447" spans="1:14" ht="60" x14ac:dyDescent="0.25">
      <c r="A447" s="19" t="s">
        <v>8065</v>
      </c>
      <c r="B447" s="17" t="s">
        <v>8064</v>
      </c>
      <c r="C447" s="20">
        <v>1</v>
      </c>
      <c r="D447" s="18">
        <v>49</v>
      </c>
      <c r="E447" s="20">
        <v>2331301</v>
      </c>
      <c r="F447" s="17" t="s">
        <v>124</v>
      </c>
      <c r="G447" s="19" t="s">
        <v>22</v>
      </c>
      <c r="H447" s="18">
        <v>7.5</v>
      </c>
      <c r="I447" s="17" t="s">
        <v>80</v>
      </c>
      <c r="J447" s="17" t="s">
        <v>293</v>
      </c>
      <c r="K447" s="17"/>
      <c r="L447" s="17"/>
      <c r="M447" s="16" t="str">
        <f>HYPERLINK("http://slimages.macys.com/is/image/MCY/19223516 ")</f>
        <v xml:space="preserve">http://slimages.macys.com/is/image/MCY/19223516 </v>
      </c>
      <c r="N447" s="30"/>
    </row>
    <row r="448" spans="1:14" ht="60" x14ac:dyDescent="0.25">
      <c r="A448" s="19" t="s">
        <v>999</v>
      </c>
      <c r="B448" s="17" t="s">
        <v>998</v>
      </c>
      <c r="C448" s="20">
        <v>6</v>
      </c>
      <c r="D448" s="18">
        <v>39.5</v>
      </c>
      <c r="E448" s="20" t="s">
        <v>213</v>
      </c>
      <c r="F448" s="17" t="s">
        <v>23</v>
      </c>
      <c r="G448" s="19" t="s">
        <v>69</v>
      </c>
      <c r="H448" s="18">
        <v>7.4400000000000013</v>
      </c>
      <c r="I448" s="17" t="s">
        <v>56</v>
      </c>
      <c r="J448" s="17" t="s">
        <v>55</v>
      </c>
      <c r="K448" s="17"/>
      <c r="L448" s="17"/>
      <c r="M448" s="16" t="str">
        <f>HYPERLINK("http://slimages.macys.com/is/image/MCY/19179536 ")</f>
        <v xml:space="preserve">http://slimages.macys.com/is/image/MCY/19179536 </v>
      </c>
      <c r="N448" s="30"/>
    </row>
    <row r="449" spans="1:14" ht="60" x14ac:dyDescent="0.25">
      <c r="A449" s="19" t="s">
        <v>1014</v>
      </c>
      <c r="B449" s="17" t="s">
        <v>1013</v>
      </c>
      <c r="C449" s="20">
        <v>2</v>
      </c>
      <c r="D449" s="18">
        <v>39.5</v>
      </c>
      <c r="E449" s="20" t="s">
        <v>213</v>
      </c>
      <c r="F449" s="17" t="s">
        <v>23</v>
      </c>
      <c r="G449" s="19" t="s">
        <v>62</v>
      </c>
      <c r="H449" s="18">
        <v>7.4400000000000013</v>
      </c>
      <c r="I449" s="17" t="s">
        <v>56</v>
      </c>
      <c r="J449" s="17" t="s">
        <v>55</v>
      </c>
      <c r="K449" s="17"/>
      <c r="L449" s="17"/>
      <c r="M449" s="16" t="str">
        <f>HYPERLINK("http://slimages.macys.com/is/image/MCY/19179536 ")</f>
        <v xml:space="preserve">http://slimages.macys.com/is/image/MCY/19179536 </v>
      </c>
      <c r="N449" s="30"/>
    </row>
    <row r="450" spans="1:14" ht="60" x14ac:dyDescent="0.25">
      <c r="A450" s="19" t="s">
        <v>1012</v>
      </c>
      <c r="B450" s="17" t="s">
        <v>1011</v>
      </c>
      <c r="C450" s="20">
        <v>3</v>
      </c>
      <c r="D450" s="18">
        <v>39.5</v>
      </c>
      <c r="E450" s="20" t="s">
        <v>213</v>
      </c>
      <c r="F450" s="17" t="s">
        <v>23</v>
      </c>
      <c r="G450" s="19" t="s">
        <v>197</v>
      </c>
      <c r="H450" s="18">
        <v>7.4400000000000013</v>
      </c>
      <c r="I450" s="17" t="s">
        <v>56</v>
      </c>
      <c r="J450" s="17" t="s">
        <v>55</v>
      </c>
      <c r="K450" s="17"/>
      <c r="L450" s="17"/>
      <c r="M450" s="16" t="str">
        <f>HYPERLINK("http://slimages.macys.com/is/image/MCY/19179536 ")</f>
        <v xml:space="preserve">http://slimages.macys.com/is/image/MCY/19179536 </v>
      </c>
      <c r="N450" s="30"/>
    </row>
    <row r="451" spans="1:14" ht="60" x14ac:dyDescent="0.25">
      <c r="A451" s="19" t="s">
        <v>8063</v>
      </c>
      <c r="B451" s="17" t="s">
        <v>8062</v>
      </c>
      <c r="C451" s="20">
        <v>1</v>
      </c>
      <c r="D451" s="18">
        <v>39.5</v>
      </c>
      <c r="E451" s="20" t="s">
        <v>8061</v>
      </c>
      <c r="F451" s="17" t="s">
        <v>149</v>
      </c>
      <c r="G451" s="19" t="s">
        <v>57</v>
      </c>
      <c r="H451" s="18">
        <v>7.4400000000000013</v>
      </c>
      <c r="I451" s="17" t="s">
        <v>68</v>
      </c>
      <c r="J451" s="17" t="s">
        <v>67</v>
      </c>
      <c r="K451" s="17"/>
      <c r="L451" s="17"/>
      <c r="M451" s="16" t="str">
        <f>HYPERLINK("http://slimages.macys.com/is/image/MCY/16687190 ")</f>
        <v xml:space="preserve">http://slimages.macys.com/is/image/MCY/16687190 </v>
      </c>
      <c r="N451" s="30"/>
    </row>
    <row r="452" spans="1:14" ht="60" x14ac:dyDescent="0.25">
      <c r="A452" s="19" t="s">
        <v>8060</v>
      </c>
      <c r="B452" s="17" t="s">
        <v>8059</v>
      </c>
      <c r="C452" s="20">
        <v>1</v>
      </c>
      <c r="D452" s="18">
        <v>39.5</v>
      </c>
      <c r="E452" s="20" t="s">
        <v>7106</v>
      </c>
      <c r="F452" s="17" t="s">
        <v>23</v>
      </c>
      <c r="G452" s="19" t="s">
        <v>62</v>
      </c>
      <c r="H452" s="18">
        <v>7.4400000000000013</v>
      </c>
      <c r="I452" s="17" t="s">
        <v>56</v>
      </c>
      <c r="J452" s="17" t="s">
        <v>55</v>
      </c>
      <c r="K452" s="17"/>
      <c r="L452" s="17"/>
      <c r="M452" s="16" t="str">
        <f>HYPERLINK("http://slimages.macys.com/is/image/MCY/19179715 ")</f>
        <v xml:space="preserve">http://slimages.macys.com/is/image/MCY/19179715 </v>
      </c>
      <c r="N452" s="30"/>
    </row>
    <row r="453" spans="1:14" ht="60" x14ac:dyDescent="0.25">
      <c r="A453" s="19" t="s">
        <v>8058</v>
      </c>
      <c r="B453" s="17" t="s">
        <v>8057</v>
      </c>
      <c r="C453" s="20">
        <v>1</v>
      </c>
      <c r="D453" s="18">
        <v>39.5</v>
      </c>
      <c r="E453" s="20" t="s">
        <v>210</v>
      </c>
      <c r="F453" s="17" t="s">
        <v>85</v>
      </c>
      <c r="G453" s="19" t="s">
        <v>57</v>
      </c>
      <c r="H453" s="18">
        <v>7.4400000000000013</v>
      </c>
      <c r="I453" s="17" t="s">
        <v>68</v>
      </c>
      <c r="J453" s="17" t="s">
        <v>67</v>
      </c>
      <c r="K453" s="17"/>
      <c r="L453" s="17"/>
      <c r="M453" s="16" t="str">
        <f>HYPERLINK("http://slimages.macys.com/is/image/MCY/16602195 ")</f>
        <v xml:space="preserve">http://slimages.macys.com/is/image/MCY/16602195 </v>
      </c>
      <c r="N453" s="30"/>
    </row>
    <row r="454" spans="1:14" ht="60" x14ac:dyDescent="0.25">
      <c r="A454" s="19" t="s">
        <v>8056</v>
      </c>
      <c r="B454" s="17" t="s">
        <v>8055</v>
      </c>
      <c r="C454" s="20">
        <v>1</v>
      </c>
      <c r="D454" s="18">
        <v>39.5</v>
      </c>
      <c r="E454" s="20" t="s">
        <v>995</v>
      </c>
      <c r="F454" s="17" t="s">
        <v>58</v>
      </c>
      <c r="G454" s="19" t="s">
        <v>57</v>
      </c>
      <c r="H454" s="18">
        <v>7.4400000000000013</v>
      </c>
      <c r="I454" s="17" t="s">
        <v>56</v>
      </c>
      <c r="J454" s="17" t="s">
        <v>55</v>
      </c>
      <c r="K454" s="17"/>
      <c r="L454" s="17"/>
      <c r="M454" s="16" t="str">
        <f>HYPERLINK("http://slimages.macys.com/is/image/MCY/19021414 ")</f>
        <v xml:space="preserve">http://slimages.macys.com/is/image/MCY/19021414 </v>
      </c>
      <c r="N454" s="30"/>
    </row>
    <row r="455" spans="1:14" ht="60" x14ac:dyDescent="0.25">
      <c r="A455" s="19" t="s">
        <v>8054</v>
      </c>
      <c r="B455" s="17" t="s">
        <v>8053</v>
      </c>
      <c r="C455" s="20">
        <v>1</v>
      </c>
      <c r="D455" s="18">
        <v>39.5</v>
      </c>
      <c r="E455" s="20" t="s">
        <v>7106</v>
      </c>
      <c r="F455" s="17" t="s">
        <v>23</v>
      </c>
      <c r="G455" s="19" t="s">
        <v>69</v>
      </c>
      <c r="H455" s="18">
        <v>7.4400000000000013</v>
      </c>
      <c r="I455" s="17" t="s">
        <v>56</v>
      </c>
      <c r="J455" s="17" t="s">
        <v>55</v>
      </c>
      <c r="K455" s="17"/>
      <c r="L455" s="17"/>
      <c r="M455" s="16" t="str">
        <f>HYPERLINK("http://slimages.macys.com/is/image/MCY/19179715 ")</f>
        <v xml:space="preserve">http://slimages.macys.com/is/image/MCY/19179715 </v>
      </c>
      <c r="N455" s="30"/>
    </row>
    <row r="456" spans="1:14" ht="60" x14ac:dyDescent="0.25">
      <c r="A456" s="19" t="s">
        <v>8052</v>
      </c>
      <c r="B456" s="17" t="s">
        <v>8051</v>
      </c>
      <c r="C456" s="20">
        <v>1</v>
      </c>
      <c r="D456" s="18">
        <v>39.5</v>
      </c>
      <c r="E456" s="20" t="s">
        <v>3300</v>
      </c>
      <c r="F456" s="17" t="s">
        <v>58</v>
      </c>
      <c r="G456" s="19" t="s">
        <v>69</v>
      </c>
      <c r="H456" s="18">
        <v>7.4400000000000013</v>
      </c>
      <c r="I456" s="17" t="s">
        <v>56</v>
      </c>
      <c r="J456" s="17" t="s">
        <v>55</v>
      </c>
      <c r="K456" s="17"/>
      <c r="L456" s="17"/>
      <c r="M456" s="16" t="str">
        <f>HYPERLINK("http://slimages.macys.com/is/image/MCY/19183292 ")</f>
        <v xml:space="preserve">http://slimages.macys.com/is/image/MCY/19183292 </v>
      </c>
      <c r="N456" s="30"/>
    </row>
    <row r="457" spans="1:14" ht="60" x14ac:dyDescent="0.25">
      <c r="A457" s="19" t="s">
        <v>1018</v>
      </c>
      <c r="B457" s="17" t="s">
        <v>1017</v>
      </c>
      <c r="C457" s="20">
        <v>4</v>
      </c>
      <c r="D457" s="18">
        <v>39.5</v>
      </c>
      <c r="E457" s="20" t="s">
        <v>213</v>
      </c>
      <c r="F457" s="17" t="s">
        <v>23</v>
      </c>
      <c r="G457" s="19" t="s">
        <v>74</v>
      </c>
      <c r="H457" s="18">
        <v>7.4400000000000013</v>
      </c>
      <c r="I457" s="17" t="s">
        <v>56</v>
      </c>
      <c r="J457" s="17" t="s">
        <v>55</v>
      </c>
      <c r="K457" s="17"/>
      <c r="L457" s="17"/>
      <c r="M457" s="16" t="str">
        <f>HYPERLINK("http://slimages.macys.com/is/image/MCY/19179536 ")</f>
        <v xml:space="preserve">http://slimages.macys.com/is/image/MCY/19179536 </v>
      </c>
      <c r="N457" s="30"/>
    </row>
    <row r="458" spans="1:14" ht="60" x14ac:dyDescent="0.25">
      <c r="A458" s="19" t="s">
        <v>6327</v>
      </c>
      <c r="B458" s="17" t="s">
        <v>6326</v>
      </c>
      <c r="C458" s="20">
        <v>1</v>
      </c>
      <c r="D458" s="18">
        <v>39.5</v>
      </c>
      <c r="E458" s="20" t="s">
        <v>1008</v>
      </c>
      <c r="F458" s="17" t="s">
        <v>91</v>
      </c>
      <c r="G458" s="19" t="s">
        <v>197</v>
      </c>
      <c r="H458" s="18">
        <v>7.4400000000000013</v>
      </c>
      <c r="I458" s="17" t="s">
        <v>56</v>
      </c>
      <c r="J458" s="17" t="s">
        <v>55</v>
      </c>
      <c r="K458" s="17"/>
      <c r="L458" s="17"/>
      <c r="M458" s="16" t="str">
        <f>HYPERLINK("http://slimages.macys.com/is/image/MCY/19021202 ")</f>
        <v xml:space="preserve">http://slimages.macys.com/is/image/MCY/19021202 </v>
      </c>
      <c r="N458" s="30"/>
    </row>
    <row r="459" spans="1:14" ht="60" x14ac:dyDescent="0.25">
      <c r="A459" s="19" t="s">
        <v>8050</v>
      </c>
      <c r="B459" s="17" t="s">
        <v>8049</v>
      </c>
      <c r="C459" s="20">
        <v>1</v>
      </c>
      <c r="D459" s="18">
        <v>39.5</v>
      </c>
      <c r="E459" s="20" t="s">
        <v>995</v>
      </c>
      <c r="F459" s="17" t="s">
        <v>23</v>
      </c>
      <c r="G459" s="19" t="s">
        <v>57</v>
      </c>
      <c r="H459" s="18">
        <v>7.4400000000000013</v>
      </c>
      <c r="I459" s="17" t="s">
        <v>56</v>
      </c>
      <c r="J459" s="17" t="s">
        <v>55</v>
      </c>
      <c r="K459" s="17"/>
      <c r="L459" s="17"/>
      <c r="M459" s="16" t="str">
        <f>HYPERLINK("http://slimages.macys.com/is/image/MCY/19021414 ")</f>
        <v xml:space="preserve">http://slimages.macys.com/is/image/MCY/19021414 </v>
      </c>
      <c r="N459" s="30"/>
    </row>
    <row r="460" spans="1:14" ht="60" x14ac:dyDescent="0.25">
      <c r="A460" s="19" t="s">
        <v>8048</v>
      </c>
      <c r="B460" s="17" t="s">
        <v>8047</v>
      </c>
      <c r="C460" s="20">
        <v>1</v>
      </c>
      <c r="D460" s="18">
        <v>39.5</v>
      </c>
      <c r="E460" s="20" t="s">
        <v>8046</v>
      </c>
      <c r="F460" s="17" t="s">
        <v>23</v>
      </c>
      <c r="G460" s="19" t="s">
        <v>197</v>
      </c>
      <c r="H460" s="18">
        <v>7.4400000000000013</v>
      </c>
      <c r="I460" s="17" t="s">
        <v>68</v>
      </c>
      <c r="J460" s="17" t="s">
        <v>67</v>
      </c>
      <c r="K460" s="17"/>
      <c r="L460" s="17"/>
      <c r="M460" s="16" t="str">
        <f>HYPERLINK("http://slimages.macys.com/is/image/MCY/18963298 ")</f>
        <v xml:space="preserve">http://slimages.macys.com/is/image/MCY/18963298 </v>
      </c>
      <c r="N460" s="30"/>
    </row>
    <row r="461" spans="1:14" ht="60" x14ac:dyDescent="0.25">
      <c r="A461" s="19" t="s">
        <v>8045</v>
      </c>
      <c r="B461" s="17" t="s">
        <v>8044</v>
      </c>
      <c r="C461" s="20">
        <v>1</v>
      </c>
      <c r="D461" s="18">
        <v>39.5</v>
      </c>
      <c r="E461" s="20" t="s">
        <v>8043</v>
      </c>
      <c r="F461" s="17" t="s">
        <v>206</v>
      </c>
      <c r="G461" s="19" t="s">
        <v>74</v>
      </c>
      <c r="H461" s="18">
        <v>7.4400000000000013</v>
      </c>
      <c r="I461" s="17" t="s">
        <v>68</v>
      </c>
      <c r="J461" s="17" t="s">
        <v>67</v>
      </c>
      <c r="K461" s="17" t="s">
        <v>389</v>
      </c>
      <c r="L461" s="17" t="s">
        <v>1044</v>
      </c>
      <c r="M461" s="16" t="str">
        <f>HYPERLINK("http://slimages.macys.com/is/image/MCY/12282199 ")</f>
        <v xml:space="preserve">http://slimages.macys.com/is/image/MCY/12282199 </v>
      </c>
      <c r="N461" s="30"/>
    </row>
    <row r="462" spans="1:14" ht="60" x14ac:dyDescent="0.25">
      <c r="A462" s="19" t="s">
        <v>8042</v>
      </c>
      <c r="B462" s="17" t="s">
        <v>8041</v>
      </c>
      <c r="C462" s="20">
        <v>1</v>
      </c>
      <c r="D462" s="18">
        <v>39.5</v>
      </c>
      <c r="E462" s="20" t="s">
        <v>995</v>
      </c>
      <c r="F462" s="17" t="s">
        <v>58</v>
      </c>
      <c r="G462" s="19" t="s">
        <v>197</v>
      </c>
      <c r="H462" s="18">
        <v>7.4400000000000013</v>
      </c>
      <c r="I462" s="17" t="s">
        <v>56</v>
      </c>
      <c r="J462" s="17" t="s">
        <v>55</v>
      </c>
      <c r="K462" s="17"/>
      <c r="L462" s="17"/>
      <c r="M462" s="16" t="str">
        <f>HYPERLINK("http://slimages.macys.com/is/image/MCY/19021414 ")</f>
        <v xml:space="preserve">http://slimages.macys.com/is/image/MCY/19021414 </v>
      </c>
      <c r="N462" s="30"/>
    </row>
    <row r="463" spans="1:14" ht="60" x14ac:dyDescent="0.25">
      <c r="A463" s="19" t="s">
        <v>8040</v>
      </c>
      <c r="B463" s="17" t="s">
        <v>8039</v>
      </c>
      <c r="C463" s="20">
        <v>2</v>
      </c>
      <c r="D463" s="18">
        <v>39.5</v>
      </c>
      <c r="E463" s="20" t="s">
        <v>1008</v>
      </c>
      <c r="F463" s="17" t="s">
        <v>63</v>
      </c>
      <c r="G463" s="19" t="s">
        <v>62</v>
      </c>
      <c r="H463" s="18">
        <v>7.4400000000000013</v>
      </c>
      <c r="I463" s="17" t="s">
        <v>56</v>
      </c>
      <c r="J463" s="17" t="s">
        <v>55</v>
      </c>
      <c r="K463" s="17"/>
      <c r="L463" s="17"/>
      <c r="M463" s="16" t="str">
        <f>HYPERLINK("http://slimages.macys.com/is/image/MCY/19021199 ")</f>
        <v xml:space="preserve">http://slimages.macys.com/is/image/MCY/19021199 </v>
      </c>
      <c r="N463" s="30"/>
    </row>
    <row r="464" spans="1:14" ht="60" x14ac:dyDescent="0.25">
      <c r="A464" s="19" t="s">
        <v>8038</v>
      </c>
      <c r="B464" s="17" t="s">
        <v>8037</v>
      </c>
      <c r="C464" s="20">
        <v>1</v>
      </c>
      <c r="D464" s="18">
        <v>39.5</v>
      </c>
      <c r="E464" s="20" t="s">
        <v>1731</v>
      </c>
      <c r="F464" s="17" t="s">
        <v>23</v>
      </c>
      <c r="G464" s="19" t="s">
        <v>57</v>
      </c>
      <c r="H464" s="18">
        <v>7.4400000000000013</v>
      </c>
      <c r="I464" s="17" t="s">
        <v>56</v>
      </c>
      <c r="J464" s="17" t="s">
        <v>55</v>
      </c>
      <c r="K464" s="17"/>
      <c r="L464" s="17"/>
      <c r="M464" s="16" t="str">
        <f>HYPERLINK("http://slimages.macys.com/is/image/MCY/18372028 ")</f>
        <v xml:space="preserve">http://slimages.macys.com/is/image/MCY/18372028 </v>
      </c>
      <c r="N464" s="30"/>
    </row>
    <row r="465" spans="1:14" ht="60" x14ac:dyDescent="0.25">
      <c r="A465" s="19" t="s">
        <v>8036</v>
      </c>
      <c r="B465" s="17" t="s">
        <v>8035</v>
      </c>
      <c r="C465" s="20">
        <v>1</v>
      </c>
      <c r="D465" s="18">
        <v>39.5</v>
      </c>
      <c r="E465" s="20" t="s">
        <v>995</v>
      </c>
      <c r="F465" s="17" t="s">
        <v>58</v>
      </c>
      <c r="G465" s="19" t="s">
        <v>62</v>
      </c>
      <c r="H465" s="18">
        <v>7.4400000000000013</v>
      </c>
      <c r="I465" s="17" t="s">
        <v>56</v>
      </c>
      <c r="J465" s="17" t="s">
        <v>55</v>
      </c>
      <c r="K465" s="17"/>
      <c r="L465" s="17"/>
      <c r="M465" s="16" t="str">
        <f>HYPERLINK("http://slimages.macys.com/is/image/MCY/19021414 ")</f>
        <v xml:space="preserve">http://slimages.macys.com/is/image/MCY/19021414 </v>
      </c>
      <c r="N465" s="30"/>
    </row>
    <row r="466" spans="1:14" ht="60" x14ac:dyDescent="0.25">
      <c r="A466" s="19" t="s">
        <v>994</v>
      </c>
      <c r="B466" s="17" t="s">
        <v>993</v>
      </c>
      <c r="C466" s="20">
        <v>2</v>
      </c>
      <c r="D466" s="18">
        <v>39.5</v>
      </c>
      <c r="E466" s="20" t="s">
        <v>213</v>
      </c>
      <c r="F466" s="17" t="s">
        <v>23</v>
      </c>
      <c r="G466" s="19" t="s">
        <v>57</v>
      </c>
      <c r="H466" s="18">
        <v>7.4400000000000013</v>
      </c>
      <c r="I466" s="17" t="s">
        <v>56</v>
      </c>
      <c r="J466" s="17" t="s">
        <v>55</v>
      </c>
      <c r="K466" s="17"/>
      <c r="L466" s="17"/>
      <c r="M466" s="16" t="str">
        <f>HYPERLINK("http://slimages.macys.com/is/image/MCY/19179536 ")</f>
        <v xml:space="preserve">http://slimages.macys.com/is/image/MCY/19179536 </v>
      </c>
      <c r="N466" s="30"/>
    </row>
    <row r="467" spans="1:14" ht="60" x14ac:dyDescent="0.25">
      <c r="A467" s="19" t="s">
        <v>8034</v>
      </c>
      <c r="B467" s="17" t="s">
        <v>8033</v>
      </c>
      <c r="C467" s="20">
        <v>1</v>
      </c>
      <c r="D467" s="18">
        <v>39.5</v>
      </c>
      <c r="E467" s="20">
        <v>30094810</v>
      </c>
      <c r="F467" s="17" t="s">
        <v>1356</v>
      </c>
      <c r="G467" s="19" t="s">
        <v>69</v>
      </c>
      <c r="H467" s="18">
        <v>7.373333333333334</v>
      </c>
      <c r="I467" s="17" t="s">
        <v>80</v>
      </c>
      <c r="J467" s="17" t="s">
        <v>513</v>
      </c>
      <c r="K467" s="17"/>
      <c r="L467" s="17"/>
      <c r="M467" s="16" t="str">
        <f>HYPERLINK("http://slimages.macys.com/is/image/MCY/16826522 ")</f>
        <v xml:space="preserve">http://slimages.macys.com/is/image/MCY/16826522 </v>
      </c>
      <c r="N467" s="30"/>
    </row>
    <row r="468" spans="1:14" ht="60" x14ac:dyDescent="0.25">
      <c r="A468" s="19" t="s">
        <v>8032</v>
      </c>
      <c r="B468" s="17" t="s">
        <v>8031</v>
      </c>
      <c r="C468" s="20">
        <v>1</v>
      </c>
      <c r="D468" s="18">
        <v>42</v>
      </c>
      <c r="E468" s="20" t="s">
        <v>3293</v>
      </c>
      <c r="F468" s="17" t="s">
        <v>51</v>
      </c>
      <c r="G468" s="19" t="s">
        <v>69</v>
      </c>
      <c r="H468" s="18">
        <v>7.3666666666666671</v>
      </c>
      <c r="I468" s="17" t="s">
        <v>80</v>
      </c>
      <c r="J468" s="17" t="s">
        <v>79</v>
      </c>
      <c r="K468" s="17"/>
      <c r="L468" s="17"/>
      <c r="M468" s="16" t="str">
        <f>HYPERLINK("http://slimages.macys.com/is/image/MCY/18593668 ")</f>
        <v xml:space="preserve">http://slimages.macys.com/is/image/MCY/18593668 </v>
      </c>
      <c r="N468" s="30"/>
    </row>
    <row r="469" spans="1:14" ht="60" x14ac:dyDescent="0.25">
      <c r="A469" s="19" t="s">
        <v>8030</v>
      </c>
      <c r="B469" s="17" t="s">
        <v>8029</v>
      </c>
      <c r="C469" s="20">
        <v>1</v>
      </c>
      <c r="D469" s="18">
        <v>49</v>
      </c>
      <c r="E469" s="20">
        <v>2321617</v>
      </c>
      <c r="F469" s="17" t="s">
        <v>70</v>
      </c>
      <c r="G469" s="19" t="s">
        <v>50</v>
      </c>
      <c r="H469" s="18">
        <v>7.3333333333333339</v>
      </c>
      <c r="I469" s="17" t="s">
        <v>80</v>
      </c>
      <c r="J469" s="17" t="s">
        <v>293</v>
      </c>
      <c r="K469" s="17"/>
      <c r="L469" s="17"/>
      <c r="M469" s="16" t="str">
        <f>HYPERLINK("http://slimages.macys.com/is/image/MCY/18749021 ")</f>
        <v xml:space="preserve">http://slimages.macys.com/is/image/MCY/18749021 </v>
      </c>
      <c r="N469" s="30"/>
    </row>
    <row r="470" spans="1:14" ht="60" x14ac:dyDescent="0.25">
      <c r="A470" s="19" t="s">
        <v>8028</v>
      </c>
      <c r="B470" s="17" t="s">
        <v>8027</v>
      </c>
      <c r="C470" s="20">
        <v>1</v>
      </c>
      <c r="D470" s="18">
        <v>39</v>
      </c>
      <c r="E470" s="20" t="s">
        <v>8022</v>
      </c>
      <c r="F470" s="17" t="s">
        <v>28</v>
      </c>
      <c r="G470" s="19" t="s">
        <v>271</v>
      </c>
      <c r="H470" s="18">
        <v>7.0000000000000009</v>
      </c>
      <c r="I470" s="17" t="s">
        <v>550</v>
      </c>
      <c r="J470" s="17" t="s">
        <v>7860</v>
      </c>
      <c r="K470" s="17"/>
      <c r="L470" s="17"/>
      <c r="M470" s="16" t="str">
        <f>HYPERLINK("http://slimages.macys.com/is/image/MCY/18990305 ")</f>
        <v xml:space="preserve">http://slimages.macys.com/is/image/MCY/18990305 </v>
      </c>
      <c r="N470" s="30"/>
    </row>
    <row r="471" spans="1:14" ht="60" x14ac:dyDescent="0.25">
      <c r="A471" s="19" t="s">
        <v>8026</v>
      </c>
      <c r="B471" s="17" t="s">
        <v>8025</v>
      </c>
      <c r="C471" s="20">
        <v>1</v>
      </c>
      <c r="D471" s="18">
        <v>39</v>
      </c>
      <c r="E471" s="20" t="s">
        <v>8022</v>
      </c>
      <c r="F471" s="17" t="s">
        <v>51</v>
      </c>
      <c r="G471" s="19" t="s">
        <v>139</v>
      </c>
      <c r="H471" s="18">
        <v>7.0000000000000009</v>
      </c>
      <c r="I471" s="17" t="s">
        <v>550</v>
      </c>
      <c r="J471" s="17" t="s">
        <v>7860</v>
      </c>
      <c r="K471" s="17"/>
      <c r="L471" s="17"/>
      <c r="M471" s="16" t="str">
        <f>HYPERLINK("http://slimages.macys.com/is/image/MCY/18990305 ")</f>
        <v xml:space="preserve">http://slimages.macys.com/is/image/MCY/18990305 </v>
      </c>
      <c r="N471" s="30"/>
    </row>
    <row r="472" spans="1:14" ht="60" x14ac:dyDescent="0.25">
      <c r="A472" s="19" t="s">
        <v>8024</v>
      </c>
      <c r="B472" s="17" t="s">
        <v>8023</v>
      </c>
      <c r="C472" s="20">
        <v>1</v>
      </c>
      <c r="D472" s="18">
        <v>39</v>
      </c>
      <c r="E472" s="20" t="s">
        <v>8022</v>
      </c>
      <c r="F472" s="17" t="s">
        <v>28</v>
      </c>
      <c r="G472" s="19" t="s">
        <v>139</v>
      </c>
      <c r="H472" s="18">
        <v>7.0000000000000009</v>
      </c>
      <c r="I472" s="17" t="s">
        <v>550</v>
      </c>
      <c r="J472" s="17" t="s">
        <v>7860</v>
      </c>
      <c r="K472" s="17"/>
      <c r="L472" s="17"/>
      <c r="M472" s="16" t="str">
        <f>HYPERLINK("http://slimages.macys.com/is/image/MCY/18990305 ")</f>
        <v xml:space="preserve">http://slimages.macys.com/is/image/MCY/18990305 </v>
      </c>
      <c r="N472" s="30"/>
    </row>
    <row r="473" spans="1:14" ht="60" x14ac:dyDescent="0.25">
      <c r="A473" s="19" t="s">
        <v>8021</v>
      </c>
      <c r="B473" s="17" t="s">
        <v>8020</v>
      </c>
      <c r="C473" s="20">
        <v>1</v>
      </c>
      <c r="D473" s="18">
        <v>40</v>
      </c>
      <c r="E473" s="20" t="s">
        <v>3085</v>
      </c>
      <c r="F473" s="17" t="s">
        <v>51</v>
      </c>
      <c r="G473" s="19" t="s">
        <v>69</v>
      </c>
      <c r="H473" s="18">
        <v>6.9333333333333336</v>
      </c>
      <c r="I473" s="17" t="s">
        <v>80</v>
      </c>
      <c r="J473" s="17" t="s">
        <v>79</v>
      </c>
      <c r="K473" s="17"/>
      <c r="L473" s="17"/>
      <c r="M473" s="16" t="str">
        <f>HYPERLINK("http://slimages.macys.com/is/image/MCY/18568056 ")</f>
        <v xml:space="preserve">http://slimages.macys.com/is/image/MCY/18568056 </v>
      </c>
      <c r="N473" s="30"/>
    </row>
    <row r="474" spans="1:14" ht="60" x14ac:dyDescent="0.25">
      <c r="A474" s="19" t="s">
        <v>8019</v>
      </c>
      <c r="B474" s="17" t="s">
        <v>8018</v>
      </c>
      <c r="C474" s="20">
        <v>1</v>
      </c>
      <c r="D474" s="18">
        <v>29.25</v>
      </c>
      <c r="E474" s="20" t="s">
        <v>8017</v>
      </c>
      <c r="F474" s="17" t="s">
        <v>63</v>
      </c>
      <c r="G474" s="19"/>
      <c r="H474" s="18">
        <v>6.8266666666666671</v>
      </c>
      <c r="I474" s="17" t="s">
        <v>33</v>
      </c>
      <c r="J474" s="17" t="s">
        <v>32</v>
      </c>
      <c r="K474" s="17"/>
      <c r="L474" s="17"/>
      <c r="M474" s="16" t="str">
        <f>HYPERLINK("http://slimages.macys.com/is/image/MCY/18119465 ")</f>
        <v xml:space="preserve">http://slimages.macys.com/is/image/MCY/18119465 </v>
      </c>
      <c r="N474" s="30"/>
    </row>
    <row r="475" spans="1:14" ht="60" x14ac:dyDescent="0.25">
      <c r="A475" s="19" t="s">
        <v>8016</v>
      </c>
      <c r="B475" s="17" t="s">
        <v>8015</v>
      </c>
      <c r="C475" s="20">
        <v>1</v>
      </c>
      <c r="D475" s="18">
        <v>39</v>
      </c>
      <c r="E475" s="20">
        <v>2321620</v>
      </c>
      <c r="F475" s="17" t="s">
        <v>23</v>
      </c>
      <c r="G475" s="19" t="s">
        <v>50</v>
      </c>
      <c r="H475" s="18">
        <v>6.666666666666667</v>
      </c>
      <c r="I475" s="17" t="s">
        <v>80</v>
      </c>
      <c r="J475" s="17" t="s">
        <v>293</v>
      </c>
      <c r="K475" s="17"/>
      <c r="L475" s="17"/>
      <c r="M475" s="16" t="str">
        <f>HYPERLINK("http://slimages.macys.com/is/image/MCY/18749223 ")</f>
        <v xml:space="preserve">http://slimages.macys.com/is/image/MCY/18749223 </v>
      </c>
      <c r="N475" s="30"/>
    </row>
    <row r="476" spans="1:14" ht="60" x14ac:dyDescent="0.25">
      <c r="A476" s="19" t="s">
        <v>8014</v>
      </c>
      <c r="B476" s="17" t="s">
        <v>8013</v>
      </c>
      <c r="C476" s="20">
        <v>1</v>
      </c>
      <c r="D476" s="18">
        <v>34.5</v>
      </c>
      <c r="E476" s="20">
        <v>30138219</v>
      </c>
      <c r="F476" s="17" t="s">
        <v>35</v>
      </c>
      <c r="G476" s="19" t="s">
        <v>62</v>
      </c>
      <c r="H476" s="18">
        <v>6.44</v>
      </c>
      <c r="I476" s="17" t="s">
        <v>80</v>
      </c>
      <c r="J476" s="17" t="s">
        <v>513</v>
      </c>
      <c r="K476" s="17"/>
      <c r="L476" s="17"/>
      <c r="M476" s="16" t="str">
        <f>HYPERLINK("http://slimages.macys.com/is/image/MCY/19735494 ")</f>
        <v xml:space="preserve">http://slimages.macys.com/is/image/MCY/19735494 </v>
      </c>
      <c r="N476" s="30"/>
    </row>
    <row r="477" spans="1:14" ht="60" x14ac:dyDescent="0.25">
      <c r="A477" s="19" t="s">
        <v>8012</v>
      </c>
      <c r="B477" s="17" t="s">
        <v>8011</v>
      </c>
      <c r="C477" s="20">
        <v>1</v>
      </c>
      <c r="D477" s="18">
        <v>24.5</v>
      </c>
      <c r="E477" s="20" t="s">
        <v>3265</v>
      </c>
      <c r="F477" s="17" t="s">
        <v>63</v>
      </c>
      <c r="G477" s="19" t="s">
        <v>74</v>
      </c>
      <c r="H477" s="18">
        <v>5.7333333333333334</v>
      </c>
      <c r="I477" s="17" t="s">
        <v>68</v>
      </c>
      <c r="J477" s="17" t="s">
        <v>67</v>
      </c>
      <c r="K477" s="17" t="s">
        <v>389</v>
      </c>
      <c r="L477" s="17" t="s">
        <v>3264</v>
      </c>
      <c r="M477" s="16" t="str">
        <f>HYPERLINK("http://slimages.macys.com/is/image/MCY/9592849 ")</f>
        <v xml:space="preserve">http://slimages.macys.com/is/image/MCY/9592849 </v>
      </c>
      <c r="N477" s="30"/>
    </row>
    <row r="478" spans="1:14" ht="60" x14ac:dyDescent="0.25">
      <c r="A478" s="19" t="s">
        <v>8010</v>
      </c>
      <c r="B478" s="17" t="s">
        <v>8009</v>
      </c>
      <c r="C478" s="20">
        <v>1</v>
      </c>
      <c r="D478" s="18">
        <v>29.5</v>
      </c>
      <c r="E478" s="20" t="s">
        <v>8008</v>
      </c>
      <c r="F478" s="17" t="s">
        <v>1536</v>
      </c>
      <c r="G478" s="19" t="s">
        <v>271</v>
      </c>
      <c r="H478" s="18">
        <v>5.4066666666666672</v>
      </c>
      <c r="I478" s="17" t="s">
        <v>267</v>
      </c>
      <c r="J478" s="17" t="s">
        <v>32</v>
      </c>
      <c r="K478" s="17"/>
      <c r="L478" s="17"/>
      <c r="M478" s="16" t="str">
        <f>HYPERLINK("http://slimages.macys.com/is/image/MCY/19044221 ")</f>
        <v xml:space="preserve">http://slimages.macys.com/is/image/MCY/19044221 </v>
      </c>
      <c r="N478" s="30"/>
    </row>
    <row r="479" spans="1:14" ht="60" x14ac:dyDescent="0.25">
      <c r="A479" s="19" t="s">
        <v>8007</v>
      </c>
      <c r="B479" s="17" t="s">
        <v>8006</v>
      </c>
      <c r="C479" s="20">
        <v>1</v>
      </c>
      <c r="D479" s="18">
        <v>34</v>
      </c>
      <c r="E479" s="20" t="s">
        <v>3249</v>
      </c>
      <c r="F479" s="17" t="s">
        <v>345</v>
      </c>
      <c r="G479" s="19" t="s">
        <v>69</v>
      </c>
      <c r="H479" s="18">
        <v>5.0666666666666673</v>
      </c>
      <c r="I479" s="17" t="s">
        <v>1700</v>
      </c>
      <c r="J479" s="17" t="s">
        <v>1699</v>
      </c>
      <c r="K479" s="17"/>
      <c r="L479" s="17"/>
      <c r="M479" s="16" t="str">
        <f>HYPERLINK("http://slimages.macys.com/is/image/MCY/18944604 ")</f>
        <v xml:space="preserve">http://slimages.macys.com/is/image/MCY/18944604 </v>
      </c>
      <c r="N479" s="30"/>
    </row>
    <row r="480" spans="1:14" ht="60" x14ac:dyDescent="0.25">
      <c r="A480" s="19" t="s">
        <v>8005</v>
      </c>
      <c r="B480" s="17" t="s">
        <v>8004</v>
      </c>
      <c r="C480" s="20">
        <v>1</v>
      </c>
      <c r="D480" s="18">
        <v>34</v>
      </c>
      <c r="E480" s="20" t="s">
        <v>4161</v>
      </c>
      <c r="F480" s="17" t="s">
        <v>508</v>
      </c>
      <c r="G480" s="19" t="s">
        <v>69</v>
      </c>
      <c r="H480" s="18">
        <v>5.0666666666666673</v>
      </c>
      <c r="I480" s="17" t="s">
        <v>1700</v>
      </c>
      <c r="J480" s="17" t="s">
        <v>1699</v>
      </c>
      <c r="K480" s="17"/>
      <c r="L480" s="17"/>
      <c r="M480" s="16" t="str">
        <f>HYPERLINK("http://slimages.macys.com/is/image/MCY/18863879 ")</f>
        <v xml:space="preserve">http://slimages.macys.com/is/image/MCY/18863879 </v>
      </c>
      <c r="N480" s="30"/>
    </row>
    <row r="481" spans="1:14" ht="60" x14ac:dyDescent="0.25">
      <c r="A481" s="19" t="s">
        <v>2452</v>
      </c>
      <c r="B481" s="17" t="s">
        <v>2451</v>
      </c>
      <c r="C481" s="20">
        <v>2</v>
      </c>
      <c r="D481" s="18">
        <v>25</v>
      </c>
      <c r="E481" s="20" t="s">
        <v>962</v>
      </c>
      <c r="F481" s="17" t="s">
        <v>149</v>
      </c>
      <c r="G481" s="19" t="s">
        <v>22</v>
      </c>
      <c r="H481" s="18">
        <v>3.813333333333333</v>
      </c>
      <c r="I481" s="17" t="s">
        <v>16</v>
      </c>
      <c r="J481" s="17" t="s">
        <v>15</v>
      </c>
      <c r="K481" s="17"/>
      <c r="L481" s="17"/>
      <c r="M481" s="16" t="str">
        <f>HYPERLINK("http://slimages.macys.com/is/image/MCY/18628115 ")</f>
        <v xml:space="preserve">http://slimages.macys.com/is/image/MCY/18628115 </v>
      </c>
      <c r="N481" s="30"/>
    </row>
    <row r="482" spans="1:14" ht="24" x14ac:dyDescent="0.25">
      <c r="A482" s="19" t="s">
        <v>8003</v>
      </c>
      <c r="B482" s="17" t="s">
        <v>8002</v>
      </c>
      <c r="C482" s="20">
        <v>2</v>
      </c>
      <c r="D482" s="18">
        <v>278</v>
      </c>
      <c r="E482" s="20" t="s">
        <v>8001</v>
      </c>
      <c r="F482" s="17" t="s">
        <v>562</v>
      </c>
      <c r="G482" s="19" t="s">
        <v>197</v>
      </c>
      <c r="H482" s="18">
        <v>87.4</v>
      </c>
      <c r="I482" s="17" t="s">
        <v>153</v>
      </c>
      <c r="J482" s="17" t="s">
        <v>153</v>
      </c>
      <c r="K482" s="17"/>
      <c r="L482" s="17"/>
      <c r="M482" s="16"/>
      <c r="N482" s="30"/>
    </row>
    <row r="483" spans="1:14" ht="60" x14ac:dyDescent="0.25">
      <c r="A483" s="19" t="s">
        <v>8000</v>
      </c>
      <c r="B483" s="17" t="s">
        <v>7999</v>
      </c>
      <c r="C483" s="20">
        <v>1</v>
      </c>
      <c r="D483" s="18">
        <v>198</v>
      </c>
      <c r="E483" s="20" t="s">
        <v>150</v>
      </c>
      <c r="F483" s="17" t="s">
        <v>2324</v>
      </c>
      <c r="G483" s="19"/>
      <c r="H483" s="18">
        <v>60</v>
      </c>
      <c r="I483" s="17" t="s">
        <v>148</v>
      </c>
      <c r="J483" s="17" t="s">
        <v>147</v>
      </c>
      <c r="K483" s="17"/>
      <c r="L483" s="17"/>
      <c r="M483" s="16"/>
      <c r="N483" s="30"/>
    </row>
    <row r="484" spans="1:14" ht="24" x14ac:dyDescent="0.25">
      <c r="A484" s="19" t="s">
        <v>7998</v>
      </c>
      <c r="B484" s="17" t="s">
        <v>7997</v>
      </c>
      <c r="C484" s="20">
        <v>1</v>
      </c>
      <c r="D484" s="18">
        <v>175</v>
      </c>
      <c r="E484" s="20" t="s">
        <v>7996</v>
      </c>
      <c r="F484" s="17" t="s">
        <v>23</v>
      </c>
      <c r="G484" s="19" t="s">
        <v>96</v>
      </c>
      <c r="H484" s="18">
        <v>53.333333333333336</v>
      </c>
      <c r="I484" s="17" t="s">
        <v>481</v>
      </c>
      <c r="J484" s="17" t="s">
        <v>1500</v>
      </c>
      <c r="K484" s="17"/>
      <c r="L484" s="17"/>
      <c r="M484" s="16"/>
      <c r="N484" s="30"/>
    </row>
    <row r="485" spans="1:14" ht="24" x14ac:dyDescent="0.25">
      <c r="A485" s="19" t="s">
        <v>7995</v>
      </c>
      <c r="B485" s="17" t="s">
        <v>7994</v>
      </c>
      <c r="C485" s="20">
        <v>1</v>
      </c>
      <c r="D485" s="18">
        <v>148</v>
      </c>
      <c r="E485" s="20" t="s">
        <v>7993</v>
      </c>
      <c r="F485" s="17" t="s">
        <v>23</v>
      </c>
      <c r="G485" s="19"/>
      <c r="H485" s="18">
        <v>44.666666666666671</v>
      </c>
      <c r="I485" s="17" t="s">
        <v>148</v>
      </c>
      <c r="J485" s="17" t="s">
        <v>3216</v>
      </c>
      <c r="K485" s="17"/>
      <c r="L485" s="17"/>
      <c r="M485" s="16"/>
      <c r="N485" s="30"/>
    </row>
    <row r="486" spans="1:14" ht="24" x14ac:dyDescent="0.25">
      <c r="A486" s="19" t="s">
        <v>7992</v>
      </c>
      <c r="B486" s="17" t="s">
        <v>7991</v>
      </c>
      <c r="C486" s="20">
        <v>4</v>
      </c>
      <c r="D486" s="18">
        <v>99</v>
      </c>
      <c r="E486" s="20" t="s">
        <v>7982</v>
      </c>
      <c r="F486" s="17" t="s">
        <v>51</v>
      </c>
      <c r="G486" s="19" t="s">
        <v>62</v>
      </c>
      <c r="H486" s="18">
        <v>30</v>
      </c>
      <c r="I486" s="17" t="s">
        <v>133</v>
      </c>
      <c r="J486" s="17" t="s">
        <v>1437</v>
      </c>
      <c r="K486" s="17"/>
      <c r="L486" s="17"/>
      <c r="M486" s="16"/>
      <c r="N486" s="30"/>
    </row>
    <row r="487" spans="1:14" ht="24" x14ac:dyDescent="0.25">
      <c r="A487" s="19" t="s">
        <v>7990</v>
      </c>
      <c r="B487" s="17" t="s">
        <v>7989</v>
      </c>
      <c r="C487" s="20">
        <v>3</v>
      </c>
      <c r="D487" s="18">
        <v>99</v>
      </c>
      <c r="E487" s="20" t="s">
        <v>7982</v>
      </c>
      <c r="F487" s="17" t="s">
        <v>51</v>
      </c>
      <c r="G487" s="19" t="s">
        <v>74</v>
      </c>
      <c r="H487" s="18">
        <v>30</v>
      </c>
      <c r="I487" s="17" t="s">
        <v>133</v>
      </c>
      <c r="J487" s="17" t="s">
        <v>1437</v>
      </c>
      <c r="K487" s="17"/>
      <c r="L487" s="17"/>
      <c r="M487" s="16"/>
      <c r="N487" s="30"/>
    </row>
    <row r="488" spans="1:14" ht="24" x14ac:dyDescent="0.25">
      <c r="A488" s="19" t="s">
        <v>7988</v>
      </c>
      <c r="B488" s="17" t="s">
        <v>7987</v>
      </c>
      <c r="C488" s="20">
        <v>2</v>
      </c>
      <c r="D488" s="18">
        <v>99</v>
      </c>
      <c r="E488" s="20" t="s">
        <v>7982</v>
      </c>
      <c r="F488" s="17" t="s">
        <v>51</v>
      </c>
      <c r="G488" s="19" t="s">
        <v>197</v>
      </c>
      <c r="H488" s="18">
        <v>30</v>
      </c>
      <c r="I488" s="17" t="s">
        <v>133</v>
      </c>
      <c r="J488" s="17" t="s">
        <v>1437</v>
      </c>
      <c r="K488" s="17"/>
      <c r="L488" s="17"/>
      <c r="M488" s="16"/>
      <c r="N488" s="30"/>
    </row>
    <row r="489" spans="1:14" ht="24" x14ac:dyDescent="0.25">
      <c r="A489" s="19" t="s">
        <v>7986</v>
      </c>
      <c r="B489" s="17" t="s">
        <v>7985</v>
      </c>
      <c r="C489" s="20">
        <v>2</v>
      </c>
      <c r="D489" s="18">
        <v>99</v>
      </c>
      <c r="E489" s="20" t="s">
        <v>7982</v>
      </c>
      <c r="F489" s="17" t="s">
        <v>51</v>
      </c>
      <c r="G489" s="19" t="s">
        <v>57</v>
      </c>
      <c r="H489" s="18">
        <v>30</v>
      </c>
      <c r="I489" s="17" t="s">
        <v>133</v>
      </c>
      <c r="J489" s="17" t="s">
        <v>1437</v>
      </c>
      <c r="K489" s="17"/>
      <c r="L489" s="17"/>
      <c r="M489" s="16"/>
      <c r="N489" s="30"/>
    </row>
    <row r="490" spans="1:14" ht="24" x14ac:dyDescent="0.25">
      <c r="A490" s="19" t="s">
        <v>7984</v>
      </c>
      <c r="B490" s="17" t="s">
        <v>7983</v>
      </c>
      <c r="C490" s="20">
        <v>4</v>
      </c>
      <c r="D490" s="18">
        <v>99</v>
      </c>
      <c r="E490" s="20" t="s">
        <v>7982</v>
      </c>
      <c r="F490" s="17" t="s">
        <v>51</v>
      </c>
      <c r="G490" s="19" t="s">
        <v>69</v>
      </c>
      <c r="H490" s="18">
        <v>30</v>
      </c>
      <c r="I490" s="17" t="s">
        <v>133</v>
      </c>
      <c r="J490" s="17" t="s">
        <v>1437</v>
      </c>
      <c r="K490" s="17"/>
      <c r="L490" s="17"/>
      <c r="M490" s="16"/>
      <c r="N490" s="30"/>
    </row>
    <row r="491" spans="1:14" ht="24" x14ac:dyDescent="0.25">
      <c r="A491" s="19" t="s">
        <v>7981</v>
      </c>
      <c r="B491" s="17" t="s">
        <v>7980</v>
      </c>
      <c r="C491" s="20">
        <v>1</v>
      </c>
      <c r="D491" s="18">
        <v>96.75</v>
      </c>
      <c r="E491" s="20">
        <v>10678280</v>
      </c>
      <c r="F491" s="17" t="s">
        <v>578</v>
      </c>
      <c r="G491" s="19"/>
      <c r="H491" s="18">
        <v>27.093333333333334</v>
      </c>
      <c r="I491" s="17" t="s">
        <v>358</v>
      </c>
      <c r="J491" s="17" t="s">
        <v>143</v>
      </c>
      <c r="K491" s="17"/>
      <c r="L491" s="17"/>
      <c r="M491" s="16"/>
      <c r="N491" s="30"/>
    </row>
    <row r="492" spans="1:14" ht="24" x14ac:dyDescent="0.25">
      <c r="A492" s="19" t="s">
        <v>7979</v>
      </c>
      <c r="B492" s="17" t="s">
        <v>7978</v>
      </c>
      <c r="C492" s="20">
        <v>1</v>
      </c>
      <c r="D492" s="18">
        <v>88</v>
      </c>
      <c r="E492" s="20" t="s">
        <v>7977</v>
      </c>
      <c r="F492" s="17" t="s">
        <v>91</v>
      </c>
      <c r="G492" s="19" t="s">
        <v>69</v>
      </c>
      <c r="H492" s="18">
        <v>26.666666666666668</v>
      </c>
      <c r="I492" s="17" t="s">
        <v>133</v>
      </c>
      <c r="J492" s="17" t="s">
        <v>1437</v>
      </c>
      <c r="K492" s="17"/>
      <c r="L492" s="17"/>
      <c r="M492" s="16"/>
      <c r="N492" s="30"/>
    </row>
    <row r="493" spans="1:14" ht="48" x14ac:dyDescent="0.25">
      <c r="A493" s="19" t="s">
        <v>7976</v>
      </c>
      <c r="B493" s="17" t="s">
        <v>7975</v>
      </c>
      <c r="C493" s="20">
        <v>1</v>
      </c>
      <c r="D493" s="18">
        <v>139</v>
      </c>
      <c r="E493" s="20" t="s">
        <v>7974</v>
      </c>
      <c r="F493" s="17" t="s">
        <v>23</v>
      </c>
      <c r="G493" s="19" t="s">
        <v>898</v>
      </c>
      <c r="H493" s="18">
        <v>25.986666666666668</v>
      </c>
      <c r="I493" s="17" t="s">
        <v>820</v>
      </c>
      <c r="J493" s="17" t="s">
        <v>67</v>
      </c>
      <c r="K493" s="17"/>
      <c r="L493" s="17"/>
      <c r="M493" s="16"/>
      <c r="N493" s="30"/>
    </row>
    <row r="494" spans="1:14" ht="48" x14ac:dyDescent="0.25">
      <c r="A494" s="19" t="s">
        <v>7973</v>
      </c>
      <c r="B494" s="17" t="s">
        <v>7972</v>
      </c>
      <c r="C494" s="20">
        <v>1</v>
      </c>
      <c r="D494" s="18">
        <v>139.5</v>
      </c>
      <c r="E494" s="20" t="s">
        <v>7971</v>
      </c>
      <c r="F494" s="17" t="s">
        <v>1536</v>
      </c>
      <c r="G494" s="19" t="s">
        <v>351</v>
      </c>
      <c r="H494" s="18">
        <v>25.573333333333334</v>
      </c>
      <c r="I494" s="17" t="s">
        <v>267</v>
      </c>
      <c r="J494" s="17" t="s">
        <v>32</v>
      </c>
      <c r="K494" s="17"/>
      <c r="L494" s="17"/>
      <c r="M494" s="16"/>
      <c r="N494" s="30"/>
    </row>
    <row r="495" spans="1:14" ht="48" x14ac:dyDescent="0.25">
      <c r="A495" s="19" t="s">
        <v>7970</v>
      </c>
      <c r="B495" s="17" t="s">
        <v>7969</v>
      </c>
      <c r="C495" s="20">
        <v>1</v>
      </c>
      <c r="D495" s="18">
        <v>97.3</v>
      </c>
      <c r="E495" s="20" t="s">
        <v>6030</v>
      </c>
      <c r="F495" s="17" t="s">
        <v>58</v>
      </c>
      <c r="G495" s="19" t="s">
        <v>2269</v>
      </c>
      <c r="H495" s="18">
        <v>25.38</v>
      </c>
      <c r="I495" s="17" t="s">
        <v>42</v>
      </c>
      <c r="J495" s="17" t="s">
        <v>41</v>
      </c>
      <c r="K495" s="17"/>
      <c r="L495" s="17"/>
      <c r="M495" s="16"/>
      <c r="N495" s="30"/>
    </row>
    <row r="496" spans="1:14" ht="24" x14ac:dyDescent="0.25">
      <c r="A496" s="19" t="s">
        <v>7968</v>
      </c>
      <c r="B496" s="17" t="s">
        <v>7967</v>
      </c>
      <c r="C496" s="20">
        <v>2</v>
      </c>
      <c r="D496" s="18">
        <v>84</v>
      </c>
      <c r="E496" s="20" t="s">
        <v>7958</v>
      </c>
      <c r="F496" s="17" t="s">
        <v>91</v>
      </c>
      <c r="G496" s="19" t="s">
        <v>197</v>
      </c>
      <c r="H496" s="18">
        <v>25.333333333333332</v>
      </c>
      <c r="I496" s="17" t="s">
        <v>133</v>
      </c>
      <c r="J496" s="17" t="s">
        <v>1437</v>
      </c>
      <c r="K496" s="17"/>
      <c r="L496" s="17"/>
      <c r="M496" s="16"/>
      <c r="N496" s="30"/>
    </row>
    <row r="497" spans="1:14" ht="24" x14ac:dyDescent="0.25">
      <c r="A497" s="19" t="s">
        <v>7966</v>
      </c>
      <c r="B497" s="17" t="s">
        <v>7965</v>
      </c>
      <c r="C497" s="20">
        <v>4</v>
      </c>
      <c r="D497" s="18">
        <v>84</v>
      </c>
      <c r="E497" s="20" t="s">
        <v>7958</v>
      </c>
      <c r="F497" s="17" t="s">
        <v>91</v>
      </c>
      <c r="G497" s="19" t="s">
        <v>62</v>
      </c>
      <c r="H497" s="18">
        <v>25.333333333333332</v>
      </c>
      <c r="I497" s="17" t="s">
        <v>133</v>
      </c>
      <c r="J497" s="17" t="s">
        <v>1437</v>
      </c>
      <c r="K497" s="17"/>
      <c r="L497" s="17"/>
      <c r="M497" s="16"/>
      <c r="N497" s="30"/>
    </row>
    <row r="498" spans="1:14" ht="24" x14ac:dyDescent="0.25">
      <c r="A498" s="19" t="s">
        <v>7964</v>
      </c>
      <c r="B498" s="17" t="s">
        <v>7963</v>
      </c>
      <c r="C498" s="20">
        <v>4</v>
      </c>
      <c r="D498" s="18">
        <v>84</v>
      </c>
      <c r="E498" s="20" t="s">
        <v>7958</v>
      </c>
      <c r="F498" s="17" t="s">
        <v>91</v>
      </c>
      <c r="G498" s="19" t="s">
        <v>69</v>
      </c>
      <c r="H498" s="18">
        <v>25.333333333333332</v>
      </c>
      <c r="I498" s="17" t="s">
        <v>133</v>
      </c>
      <c r="J498" s="17" t="s">
        <v>1437</v>
      </c>
      <c r="K498" s="17"/>
      <c r="L498" s="17"/>
      <c r="M498" s="16"/>
      <c r="N498" s="30"/>
    </row>
    <row r="499" spans="1:14" ht="24" x14ac:dyDescent="0.25">
      <c r="A499" s="19" t="s">
        <v>7962</v>
      </c>
      <c r="B499" s="17" t="s">
        <v>7961</v>
      </c>
      <c r="C499" s="20">
        <v>3</v>
      </c>
      <c r="D499" s="18">
        <v>84</v>
      </c>
      <c r="E499" s="20" t="s">
        <v>7958</v>
      </c>
      <c r="F499" s="17" t="s">
        <v>91</v>
      </c>
      <c r="G499" s="19" t="s">
        <v>74</v>
      </c>
      <c r="H499" s="18">
        <v>25.333333333333332</v>
      </c>
      <c r="I499" s="17" t="s">
        <v>133</v>
      </c>
      <c r="J499" s="17" t="s">
        <v>1437</v>
      </c>
      <c r="K499" s="17"/>
      <c r="L499" s="17"/>
      <c r="M499" s="16"/>
      <c r="N499" s="30"/>
    </row>
    <row r="500" spans="1:14" ht="24" x14ac:dyDescent="0.25">
      <c r="A500" s="19" t="s">
        <v>7960</v>
      </c>
      <c r="B500" s="17" t="s">
        <v>7959</v>
      </c>
      <c r="C500" s="20">
        <v>2</v>
      </c>
      <c r="D500" s="18">
        <v>84</v>
      </c>
      <c r="E500" s="20" t="s">
        <v>7958</v>
      </c>
      <c r="F500" s="17" t="s">
        <v>91</v>
      </c>
      <c r="G500" s="19" t="s">
        <v>57</v>
      </c>
      <c r="H500" s="18">
        <v>25.333333333333332</v>
      </c>
      <c r="I500" s="17" t="s">
        <v>133</v>
      </c>
      <c r="J500" s="17" t="s">
        <v>1437</v>
      </c>
      <c r="K500" s="17"/>
      <c r="L500" s="17"/>
      <c r="M500" s="16"/>
      <c r="N500" s="30"/>
    </row>
    <row r="501" spans="1:14" ht="48" x14ac:dyDescent="0.25">
      <c r="A501" s="19" t="s">
        <v>7957</v>
      </c>
      <c r="B501" s="17" t="s">
        <v>7956</v>
      </c>
      <c r="C501" s="20">
        <v>1</v>
      </c>
      <c r="D501" s="18">
        <v>99</v>
      </c>
      <c r="E501" s="20" t="s">
        <v>7955</v>
      </c>
      <c r="F501" s="17"/>
      <c r="G501" s="19" t="s">
        <v>116</v>
      </c>
      <c r="H501" s="18">
        <v>23.96</v>
      </c>
      <c r="I501" s="17" t="s">
        <v>1363</v>
      </c>
      <c r="J501" s="17" t="s">
        <v>1362</v>
      </c>
      <c r="K501" s="17"/>
      <c r="L501" s="17"/>
      <c r="M501" s="16"/>
      <c r="N501" s="30"/>
    </row>
    <row r="502" spans="1:14" ht="60" x14ac:dyDescent="0.25">
      <c r="A502" s="19" t="s">
        <v>7954</v>
      </c>
      <c r="B502" s="17" t="s">
        <v>7953</v>
      </c>
      <c r="C502" s="20">
        <v>1</v>
      </c>
      <c r="D502" s="18">
        <v>88</v>
      </c>
      <c r="E502" s="20" t="s">
        <v>4692</v>
      </c>
      <c r="F502" s="17" t="s">
        <v>216</v>
      </c>
      <c r="G502" s="19" t="s">
        <v>6895</v>
      </c>
      <c r="H502" s="18">
        <v>23.733333333333334</v>
      </c>
      <c r="I502" s="17" t="s">
        <v>148</v>
      </c>
      <c r="J502" s="17" t="s">
        <v>2093</v>
      </c>
      <c r="K502" s="17"/>
      <c r="L502" s="17"/>
      <c r="M502" s="16"/>
      <c r="N502" s="30"/>
    </row>
    <row r="503" spans="1:14" ht="36" x14ac:dyDescent="0.25">
      <c r="A503" s="19" t="s">
        <v>7952</v>
      </c>
      <c r="B503" s="17" t="s">
        <v>7951</v>
      </c>
      <c r="C503" s="20">
        <v>1</v>
      </c>
      <c r="D503" s="18">
        <v>119</v>
      </c>
      <c r="E503" s="20" t="s">
        <v>7950</v>
      </c>
      <c r="F503" s="17" t="s">
        <v>58</v>
      </c>
      <c r="G503" s="19" t="s">
        <v>874</v>
      </c>
      <c r="H503" s="18">
        <v>22.213333333333335</v>
      </c>
      <c r="I503" s="17" t="s">
        <v>33</v>
      </c>
      <c r="J503" s="17" t="s">
        <v>404</v>
      </c>
      <c r="K503" s="17"/>
      <c r="L503" s="17"/>
      <c r="M503" s="16"/>
      <c r="N503" s="30"/>
    </row>
    <row r="504" spans="1:14" ht="24" x14ac:dyDescent="0.25">
      <c r="A504" s="19" t="s">
        <v>7949</v>
      </c>
      <c r="B504" s="17" t="s">
        <v>7948</v>
      </c>
      <c r="C504" s="20">
        <v>3</v>
      </c>
      <c r="D504" s="18">
        <v>74</v>
      </c>
      <c r="E504" s="20" t="s">
        <v>7939</v>
      </c>
      <c r="F504" s="17" t="s">
        <v>23</v>
      </c>
      <c r="G504" s="19" t="s">
        <v>74</v>
      </c>
      <c r="H504" s="18">
        <v>22</v>
      </c>
      <c r="I504" s="17" t="s">
        <v>133</v>
      </c>
      <c r="J504" s="17" t="s">
        <v>1437</v>
      </c>
      <c r="K504" s="17"/>
      <c r="L504" s="17"/>
      <c r="M504" s="16"/>
      <c r="N504" s="30"/>
    </row>
    <row r="505" spans="1:14" ht="24" x14ac:dyDescent="0.25">
      <c r="A505" s="19" t="s">
        <v>7947</v>
      </c>
      <c r="B505" s="17" t="s">
        <v>7946</v>
      </c>
      <c r="C505" s="20">
        <v>2</v>
      </c>
      <c r="D505" s="18">
        <v>74</v>
      </c>
      <c r="E505" s="20" t="s">
        <v>7939</v>
      </c>
      <c r="F505" s="17" t="s">
        <v>23</v>
      </c>
      <c r="G505" s="19" t="s">
        <v>197</v>
      </c>
      <c r="H505" s="18">
        <v>22</v>
      </c>
      <c r="I505" s="17" t="s">
        <v>133</v>
      </c>
      <c r="J505" s="17" t="s">
        <v>1437</v>
      </c>
      <c r="K505" s="17"/>
      <c r="L505" s="17"/>
      <c r="M505" s="16"/>
      <c r="N505" s="30"/>
    </row>
    <row r="506" spans="1:14" ht="24" x14ac:dyDescent="0.25">
      <c r="A506" s="19" t="s">
        <v>7945</v>
      </c>
      <c r="B506" s="17" t="s">
        <v>7944</v>
      </c>
      <c r="C506" s="20">
        <v>2</v>
      </c>
      <c r="D506" s="18">
        <v>74</v>
      </c>
      <c r="E506" s="20" t="s">
        <v>7939</v>
      </c>
      <c r="F506" s="17" t="s">
        <v>23</v>
      </c>
      <c r="G506" s="19" t="s">
        <v>57</v>
      </c>
      <c r="H506" s="18">
        <v>22</v>
      </c>
      <c r="I506" s="17" t="s">
        <v>133</v>
      </c>
      <c r="J506" s="17" t="s">
        <v>1437</v>
      </c>
      <c r="K506" s="17"/>
      <c r="L506" s="17"/>
      <c r="M506" s="16"/>
      <c r="N506" s="30"/>
    </row>
    <row r="507" spans="1:14" ht="24" x14ac:dyDescent="0.25">
      <c r="A507" s="19" t="s">
        <v>7943</v>
      </c>
      <c r="B507" s="17" t="s">
        <v>7942</v>
      </c>
      <c r="C507" s="20">
        <v>4</v>
      </c>
      <c r="D507" s="18">
        <v>74</v>
      </c>
      <c r="E507" s="20" t="s">
        <v>7939</v>
      </c>
      <c r="F507" s="17" t="s">
        <v>23</v>
      </c>
      <c r="G507" s="19" t="s">
        <v>62</v>
      </c>
      <c r="H507" s="18">
        <v>22</v>
      </c>
      <c r="I507" s="17" t="s">
        <v>133</v>
      </c>
      <c r="J507" s="17" t="s">
        <v>1437</v>
      </c>
      <c r="K507" s="17"/>
      <c r="L507" s="17"/>
      <c r="M507" s="16"/>
      <c r="N507" s="30"/>
    </row>
    <row r="508" spans="1:14" ht="24" x14ac:dyDescent="0.25">
      <c r="A508" s="19" t="s">
        <v>7941</v>
      </c>
      <c r="B508" s="17" t="s">
        <v>7940</v>
      </c>
      <c r="C508" s="20">
        <v>4</v>
      </c>
      <c r="D508" s="18">
        <v>74</v>
      </c>
      <c r="E508" s="20" t="s">
        <v>7939</v>
      </c>
      <c r="F508" s="17" t="s">
        <v>23</v>
      </c>
      <c r="G508" s="19" t="s">
        <v>69</v>
      </c>
      <c r="H508" s="18">
        <v>22</v>
      </c>
      <c r="I508" s="17" t="s">
        <v>133</v>
      </c>
      <c r="J508" s="17" t="s">
        <v>1437</v>
      </c>
      <c r="K508" s="17"/>
      <c r="L508" s="17"/>
      <c r="M508" s="16"/>
      <c r="N508" s="30"/>
    </row>
    <row r="509" spans="1:14" ht="48" x14ac:dyDescent="0.25">
      <c r="A509" s="19" t="s">
        <v>7938</v>
      </c>
      <c r="B509" s="17" t="s">
        <v>7937</v>
      </c>
      <c r="C509" s="20">
        <v>1</v>
      </c>
      <c r="D509" s="18">
        <v>89</v>
      </c>
      <c r="E509" s="20" t="s">
        <v>7936</v>
      </c>
      <c r="F509" s="17" t="s">
        <v>58</v>
      </c>
      <c r="G509" s="19" t="s">
        <v>698</v>
      </c>
      <c r="H509" s="18">
        <v>21.593333333333334</v>
      </c>
      <c r="I509" s="17" t="s">
        <v>1363</v>
      </c>
      <c r="J509" s="17" t="s">
        <v>1362</v>
      </c>
      <c r="K509" s="17"/>
      <c r="L509" s="17"/>
      <c r="M509" s="16"/>
      <c r="N509" s="30"/>
    </row>
    <row r="510" spans="1:14" ht="48" x14ac:dyDescent="0.25">
      <c r="A510" s="19" t="s">
        <v>7935</v>
      </c>
      <c r="B510" s="17" t="s">
        <v>7934</v>
      </c>
      <c r="C510" s="20">
        <v>1</v>
      </c>
      <c r="D510" s="18">
        <v>79.989999999999995</v>
      </c>
      <c r="E510" s="20">
        <v>50039228</v>
      </c>
      <c r="F510" s="17" t="s">
        <v>85</v>
      </c>
      <c r="G510" s="19" t="s">
        <v>3931</v>
      </c>
      <c r="H510" s="18">
        <v>20.666666666666668</v>
      </c>
      <c r="I510" s="17" t="s">
        <v>851</v>
      </c>
      <c r="J510" s="17" t="s">
        <v>850</v>
      </c>
      <c r="K510" s="17"/>
      <c r="L510" s="17"/>
      <c r="M510" s="16"/>
      <c r="N510" s="30"/>
    </row>
    <row r="511" spans="1:14" ht="24" x14ac:dyDescent="0.25">
      <c r="A511" s="19" t="s">
        <v>7933</v>
      </c>
      <c r="B511" s="17" t="s">
        <v>7932</v>
      </c>
      <c r="C511" s="20">
        <v>1</v>
      </c>
      <c r="D511" s="18">
        <v>74.25</v>
      </c>
      <c r="E511" s="20">
        <v>10785938</v>
      </c>
      <c r="F511" s="17" t="s">
        <v>63</v>
      </c>
      <c r="G511" s="19" t="s">
        <v>916</v>
      </c>
      <c r="H511" s="18">
        <v>20.293333333333333</v>
      </c>
      <c r="I511" s="17" t="s">
        <v>358</v>
      </c>
      <c r="J511" s="17" t="s">
        <v>143</v>
      </c>
      <c r="K511" s="17"/>
      <c r="L511" s="17"/>
      <c r="M511" s="16"/>
      <c r="N511" s="30"/>
    </row>
    <row r="512" spans="1:14" ht="48" x14ac:dyDescent="0.25">
      <c r="A512" s="19" t="s">
        <v>7931</v>
      </c>
      <c r="B512" s="17" t="s">
        <v>7930</v>
      </c>
      <c r="C512" s="20">
        <v>1</v>
      </c>
      <c r="D512" s="18">
        <v>119</v>
      </c>
      <c r="E512" s="20">
        <v>10771808</v>
      </c>
      <c r="F512" s="17" t="s">
        <v>575</v>
      </c>
      <c r="G512" s="19" t="s">
        <v>857</v>
      </c>
      <c r="H512" s="18">
        <v>19.833333333333336</v>
      </c>
      <c r="I512" s="17" t="s">
        <v>120</v>
      </c>
      <c r="J512" s="17" t="s">
        <v>119</v>
      </c>
      <c r="K512" s="17"/>
      <c r="L512" s="17"/>
      <c r="M512" s="16"/>
      <c r="N512" s="30"/>
    </row>
    <row r="513" spans="1:14" ht="48" x14ac:dyDescent="0.25">
      <c r="A513" s="19" t="s">
        <v>7929</v>
      </c>
      <c r="B513" s="17" t="s">
        <v>7928</v>
      </c>
      <c r="C513" s="20">
        <v>1</v>
      </c>
      <c r="D513" s="18">
        <v>99</v>
      </c>
      <c r="E513" s="20">
        <v>10773768</v>
      </c>
      <c r="F513" s="17" t="s">
        <v>28</v>
      </c>
      <c r="G513" s="19" t="s">
        <v>96</v>
      </c>
      <c r="H513" s="18">
        <v>19.8</v>
      </c>
      <c r="I513" s="17" t="s">
        <v>115</v>
      </c>
      <c r="J513" s="17" t="s">
        <v>1265</v>
      </c>
      <c r="K513" s="17"/>
      <c r="L513" s="17"/>
      <c r="M513" s="16"/>
      <c r="N513" s="30"/>
    </row>
    <row r="514" spans="1:14" ht="48" x14ac:dyDescent="0.25">
      <c r="A514" s="19" t="s">
        <v>7927</v>
      </c>
      <c r="B514" s="17" t="s">
        <v>7926</v>
      </c>
      <c r="C514" s="20">
        <v>1</v>
      </c>
      <c r="D514" s="18">
        <v>99</v>
      </c>
      <c r="E514" s="20" t="s">
        <v>7925</v>
      </c>
      <c r="F514" s="17" t="s">
        <v>508</v>
      </c>
      <c r="G514" s="19" t="s">
        <v>698</v>
      </c>
      <c r="H514" s="18">
        <v>19.8</v>
      </c>
      <c r="I514" s="17" t="s">
        <v>144</v>
      </c>
      <c r="J514" s="17" t="s">
        <v>496</v>
      </c>
      <c r="K514" s="17"/>
      <c r="L514" s="17"/>
      <c r="M514" s="16"/>
      <c r="N514" s="30"/>
    </row>
    <row r="515" spans="1:14" ht="48" x14ac:dyDescent="0.25">
      <c r="A515" s="19" t="s">
        <v>7924</v>
      </c>
      <c r="B515" s="17" t="s">
        <v>7923</v>
      </c>
      <c r="C515" s="20">
        <v>1</v>
      </c>
      <c r="D515" s="18">
        <v>99</v>
      </c>
      <c r="E515" s="20">
        <v>10773512</v>
      </c>
      <c r="F515" s="17" t="s">
        <v>51</v>
      </c>
      <c r="G515" s="19" t="s">
        <v>682</v>
      </c>
      <c r="H515" s="18">
        <v>19.14</v>
      </c>
      <c r="I515" s="17" t="s">
        <v>120</v>
      </c>
      <c r="J515" s="17" t="s">
        <v>119</v>
      </c>
      <c r="K515" s="17"/>
      <c r="L515" s="17"/>
      <c r="M515" s="16"/>
      <c r="N515" s="30"/>
    </row>
    <row r="516" spans="1:14" ht="48" x14ac:dyDescent="0.25">
      <c r="A516" s="19" t="s">
        <v>7922</v>
      </c>
      <c r="B516" s="17" t="s">
        <v>7921</v>
      </c>
      <c r="C516" s="20">
        <v>2</v>
      </c>
      <c r="D516" s="18">
        <v>111.75</v>
      </c>
      <c r="E516" s="20" t="s">
        <v>7916</v>
      </c>
      <c r="F516" s="17" t="s">
        <v>28</v>
      </c>
      <c r="G516" s="19" t="s">
        <v>1292</v>
      </c>
      <c r="H516" s="18">
        <v>19.106666666666669</v>
      </c>
      <c r="I516" s="17" t="s">
        <v>358</v>
      </c>
      <c r="J516" s="17" t="s">
        <v>32</v>
      </c>
      <c r="K516" s="17"/>
      <c r="L516" s="17"/>
      <c r="M516" s="16"/>
      <c r="N516" s="30"/>
    </row>
    <row r="517" spans="1:14" ht="48" x14ac:dyDescent="0.25">
      <c r="A517" s="19" t="s">
        <v>7920</v>
      </c>
      <c r="B517" s="17" t="s">
        <v>7919</v>
      </c>
      <c r="C517" s="20">
        <v>1</v>
      </c>
      <c r="D517" s="18">
        <v>111.75</v>
      </c>
      <c r="E517" s="20" t="s">
        <v>7916</v>
      </c>
      <c r="F517" s="17" t="s">
        <v>28</v>
      </c>
      <c r="G517" s="19"/>
      <c r="H517" s="18">
        <v>19.106666666666669</v>
      </c>
      <c r="I517" s="17" t="s">
        <v>358</v>
      </c>
      <c r="J517" s="17" t="s">
        <v>32</v>
      </c>
      <c r="K517" s="17"/>
      <c r="L517" s="17"/>
      <c r="M517" s="16"/>
      <c r="N517" s="30"/>
    </row>
    <row r="518" spans="1:14" ht="48" x14ac:dyDescent="0.25">
      <c r="A518" s="19" t="s">
        <v>7918</v>
      </c>
      <c r="B518" s="17" t="s">
        <v>7917</v>
      </c>
      <c r="C518" s="20">
        <v>1</v>
      </c>
      <c r="D518" s="18">
        <v>111.75</v>
      </c>
      <c r="E518" s="20" t="s">
        <v>7916</v>
      </c>
      <c r="F518" s="17" t="s">
        <v>28</v>
      </c>
      <c r="G518" s="19" t="s">
        <v>1445</v>
      </c>
      <c r="H518" s="18">
        <v>19.106666666666669</v>
      </c>
      <c r="I518" s="17" t="s">
        <v>358</v>
      </c>
      <c r="J518" s="17" t="s">
        <v>32</v>
      </c>
      <c r="K518" s="17"/>
      <c r="L518" s="17"/>
      <c r="M518" s="16"/>
      <c r="N518" s="30"/>
    </row>
    <row r="519" spans="1:14" ht="48" x14ac:dyDescent="0.25">
      <c r="A519" s="19" t="s">
        <v>7915</v>
      </c>
      <c r="B519" s="17" t="s">
        <v>7914</v>
      </c>
      <c r="C519" s="20">
        <v>1</v>
      </c>
      <c r="D519" s="18">
        <v>99.5</v>
      </c>
      <c r="E519" s="20" t="s">
        <v>7913</v>
      </c>
      <c r="F519" s="17" t="s">
        <v>390</v>
      </c>
      <c r="G519" s="19" t="s">
        <v>27</v>
      </c>
      <c r="H519" s="18">
        <v>18.733333333333334</v>
      </c>
      <c r="I519" s="17" t="s">
        <v>56</v>
      </c>
      <c r="J519" s="17" t="s">
        <v>55</v>
      </c>
      <c r="K519" s="17"/>
      <c r="L519" s="17"/>
      <c r="M519" s="16"/>
      <c r="N519" s="30"/>
    </row>
    <row r="520" spans="1:14" ht="48" x14ac:dyDescent="0.25">
      <c r="A520" s="19" t="s">
        <v>7912</v>
      </c>
      <c r="B520" s="17" t="s">
        <v>7911</v>
      </c>
      <c r="C520" s="20">
        <v>1</v>
      </c>
      <c r="D520" s="18">
        <v>74.25</v>
      </c>
      <c r="E520" s="20" t="s">
        <v>7910</v>
      </c>
      <c r="F520" s="17" t="s">
        <v>149</v>
      </c>
      <c r="G520" s="19" t="s">
        <v>1191</v>
      </c>
      <c r="H520" s="18">
        <v>18.686666666666667</v>
      </c>
      <c r="I520" s="17" t="s">
        <v>358</v>
      </c>
      <c r="J520" s="17" t="s">
        <v>32</v>
      </c>
      <c r="K520" s="17"/>
      <c r="L520" s="17"/>
      <c r="M520" s="16"/>
      <c r="N520" s="30"/>
    </row>
    <row r="521" spans="1:14" ht="24" x14ac:dyDescent="0.25">
      <c r="A521" s="19" t="s">
        <v>7909</v>
      </c>
      <c r="B521" s="17" t="s">
        <v>7908</v>
      </c>
      <c r="C521" s="20">
        <v>1</v>
      </c>
      <c r="D521" s="18">
        <v>59.25</v>
      </c>
      <c r="E521" s="20">
        <v>10762546</v>
      </c>
      <c r="F521" s="17" t="s">
        <v>140</v>
      </c>
      <c r="G521" s="19" t="s">
        <v>351</v>
      </c>
      <c r="H521" s="18">
        <v>16.593333333333334</v>
      </c>
      <c r="I521" s="17" t="s">
        <v>358</v>
      </c>
      <c r="J521" s="17" t="s">
        <v>143</v>
      </c>
      <c r="K521" s="17"/>
      <c r="L521" s="17"/>
      <c r="M521" s="16"/>
      <c r="N521" s="30"/>
    </row>
    <row r="522" spans="1:14" ht="24" x14ac:dyDescent="0.25">
      <c r="A522" s="19" t="s">
        <v>7907</v>
      </c>
      <c r="B522" s="17" t="s">
        <v>7906</v>
      </c>
      <c r="C522" s="20">
        <v>1</v>
      </c>
      <c r="D522" s="18">
        <v>79</v>
      </c>
      <c r="E522" s="20">
        <v>10758380</v>
      </c>
      <c r="F522" s="17" t="s">
        <v>23</v>
      </c>
      <c r="G522" s="19" t="s">
        <v>898</v>
      </c>
      <c r="H522" s="18">
        <v>16.326666666666668</v>
      </c>
      <c r="I522" s="17" t="s">
        <v>144</v>
      </c>
      <c r="J522" s="17" t="s">
        <v>143</v>
      </c>
      <c r="K522" s="17"/>
      <c r="L522" s="17"/>
      <c r="M522" s="16"/>
      <c r="N522" s="30"/>
    </row>
    <row r="523" spans="1:14" ht="60" x14ac:dyDescent="0.25">
      <c r="A523" s="19" t="s">
        <v>7905</v>
      </c>
      <c r="B523" s="17" t="s">
        <v>7904</v>
      </c>
      <c r="C523" s="20">
        <v>1</v>
      </c>
      <c r="D523" s="18">
        <v>79.5</v>
      </c>
      <c r="E523" s="20" t="s">
        <v>7524</v>
      </c>
      <c r="F523" s="17" t="s">
        <v>881</v>
      </c>
      <c r="G523" s="19" t="s">
        <v>96</v>
      </c>
      <c r="H523" s="18">
        <v>16.013333333333335</v>
      </c>
      <c r="I523" s="17" t="s">
        <v>106</v>
      </c>
      <c r="J523" s="17" t="s">
        <v>105</v>
      </c>
      <c r="K523" s="17"/>
      <c r="L523" s="17"/>
      <c r="M523" s="16"/>
      <c r="N523" s="30"/>
    </row>
    <row r="524" spans="1:14" ht="36" x14ac:dyDescent="0.25">
      <c r="A524" s="19" t="s">
        <v>7903</v>
      </c>
      <c r="B524" s="17" t="s">
        <v>7902</v>
      </c>
      <c r="C524" s="20">
        <v>1</v>
      </c>
      <c r="D524" s="18">
        <v>69</v>
      </c>
      <c r="E524" s="20" t="s">
        <v>7901</v>
      </c>
      <c r="F524" s="17" t="s">
        <v>1526</v>
      </c>
      <c r="G524" s="19" t="s">
        <v>62</v>
      </c>
      <c r="H524" s="18">
        <v>13.799999999999999</v>
      </c>
      <c r="I524" s="17" t="s">
        <v>678</v>
      </c>
      <c r="J524" s="17" t="s">
        <v>404</v>
      </c>
      <c r="K524" s="17"/>
      <c r="L524" s="17"/>
      <c r="M524" s="16"/>
      <c r="N524" s="30"/>
    </row>
    <row r="525" spans="1:14" ht="48" x14ac:dyDescent="0.25">
      <c r="A525" s="19" t="s">
        <v>7900</v>
      </c>
      <c r="B525" s="17" t="s">
        <v>7899</v>
      </c>
      <c r="C525" s="20">
        <v>1</v>
      </c>
      <c r="D525" s="18">
        <v>89</v>
      </c>
      <c r="E525" s="20">
        <v>2360201</v>
      </c>
      <c r="F525" s="17" t="s">
        <v>508</v>
      </c>
      <c r="G525" s="19" t="s">
        <v>101</v>
      </c>
      <c r="H525" s="18">
        <v>13.253333333333334</v>
      </c>
      <c r="I525" s="17" t="s">
        <v>80</v>
      </c>
      <c r="J525" s="17" t="s">
        <v>293</v>
      </c>
      <c r="K525" s="17"/>
      <c r="L525" s="17"/>
      <c r="M525" s="16"/>
      <c r="N525" s="30"/>
    </row>
    <row r="526" spans="1:14" ht="48" x14ac:dyDescent="0.25">
      <c r="A526" s="19" t="s">
        <v>7898</v>
      </c>
      <c r="B526" s="17" t="s">
        <v>7897</v>
      </c>
      <c r="C526" s="20">
        <v>1</v>
      </c>
      <c r="D526" s="18">
        <v>79</v>
      </c>
      <c r="E526" s="20">
        <v>10766860</v>
      </c>
      <c r="F526" s="17" t="s">
        <v>390</v>
      </c>
      <c r="G526" s="19" t="s">
        <v>69</v>
      </c>
      <c r="H526" s="18">
        <v>13.166666666666668</v>
      </c>
      <c r="I526" s="17" t="s">
        <v>120</v>
      </c>
      <c r="J526" s="17" t="s">
        <v>119</v>
      </c>
      <c r="K526" s="17"/>
      <c r="L526" s="17"/>
      <c r="M526" s="16"/>
      <c r="N526" s="30"/>
    </row>
    <row r="527" spans="1:14" ht="36" x14ac:dyDescent="0.25">
      <c r="A527" s="19" t="s">
        <v>7896</v>
      </c>
      <c r="B527" s="17" t="s">
        <v>7895</v>
      </c>
      <c r="C527" s="20">
        <v>1</v>
      </c>
      <c r="D527" s="18">
        <v>69</v>
      </c>
      <c r="E527" s="20" t="s">
        <v>7894</v>
      </c>
      <c r="F527" s="17" t="s">
        <v>44</v>
      </c>
      <c r="G527" s="19" t="s">
        <v>197</v>
      </c>
      <c r="H527" s="18">
        <v>12.88</v>
      </c>
      <c r="I527" s="17" t="s">
        <v>678</v>
      </c>
      <c r="J527" s="17" t="s">
        <v>404</v>
      </c>
      <c r="K527" s="17"/>
      <c r="L527" s="17"/>
      <c r="M527" s="16"/>
      <c r="N527" s="30"/>
    </row>
    <row r="528" spans="1:14" ht="48" x14ac:dyDescent="0.25">
      <c r="A528" s="19" t="s">
        <v>7893</v>
      </c>
      <c r="B528" s="17" t="s">
        <v>7892</v>
      </c>
      <c r="C528" s="20">
        <v>1</v>
      </c>
      <c r="D528" s="18">
        <v>69</v>
      </c>
      <c r="E528" s="20" t="s">
        <v>7891</v>
      </c>
      <c r="F528" s="17" t="s">
        <v>58</v>
      </c>
      <c r="G528" s="19" t="s">
        <v>69</v>
      </c>
      <c r="H528" s="18">
        <v>12.88</v>
      </c>
      <c r="I528" s="17" t="s">
        <v>820</v>
      </c>
      <c r="J528" s="17" t="s">
        <v>67</v>
      </c>
      <c r="K528" s="17"/>
      <c r="L528" s="17"/>
      <c r="M528" s="16"/>
      <c r="N528" s="30"/>
    </row>
    <row r="529" spans="1:14" ht="60" x14ac:dyDescent="0.25">
      <c r="A529" s="19" t="s">
        <v>7890</v>
      </c>
      <c r="B529" s="17" t="s">
        <v>7889</v>
      </c>
      <c r="C529" s="20">
        <v>1</v>
      </c>
      <c r="D529" s="18">
        <v>59.5</v>
      </c>
      <c r="E529" s="20" t="s">
        <v>7888</v>
      </c>
      <c r="F529" s="17" t="s">
        <v>23</v>
      </c>
      <c r="G529" s="19" t="s">
        <v>69</v>
      </c>
      <c r="H529" s="18">
        <v>11.986666666666668</v>
      </c>
      <c r="I529" s="17" t="s">
        <v>106</v>
      </c>
      <c r="J529" s="17" t="s">
        <v>105</v>
      </c>
      <c r="K529" s="17"/>
      <c r="L529" s="17"/>
      <c r="M529" s="16"/>
      <c r="N529" s="30"/>
    </row>
    <row r="530" spans="1:14" ht="48" x14ac:dyDescent="0.25">
      <c r="A530" s="19" t="s">
        <v>7887</v>
      </c>
      <c r="B530" s="17" t="s">
        <v>7886</v>
      </c>
      <c r="C530" s="20">
        <v>1</v>
      </c>
      <c r="D530" s="18">
        <v>44.25</v>
      </c>
      <c r="E530" s="20" t="s">
        <v>7885</v>
      </c>
      <c r="F530" s="17" t="s">
        <v>2284</v>
      </c>
      <c r="G530" s="19" t="s">
        <v>139</v>
      </c>
      <c r="H530" s="18">
        <v>11.133333333333333</v>
      </c>
      <c r="I530" s="17" t="s">
        <v>358</v>
      </c>
      <c r="J530" s="17" t="s">
        <v>32</v>
      </c>
      <c r="K530" s="17"/>
      <c r="L530" s="17"/>
      <c r="M530" s="16"/>
      <c r="N530" s="30"/>
    </row>
    <row r="531" spans="1:14" ht="48" x14ac:dyDescent="0.25">
      <c r="A531" s="19" t="s">
        <v>7884</v>
      </c>
      <c r="B531" s="17" t="s">
        <v>7883</v>
      </c>
      <c r="C531" s="20">
        <v>1</v>
      </c>
      <c r="D531" s="18">
        <v>59</v>
      </c>
      <c r="E531" s="20" t="s">
        <v>7882</v>
      </c>
      <c r="F531" s="17" t="s">
        <v>23</v>
      </c>
      <c r="G531" s="19" t="s">
        <v>69</v>
      </c>
      <c r="H531" s="18">
        <v>11.013333333333334</v>
      </c>
      <c r="I531" s="17" t="s">
        <v>820</v>
      </c>
      <c r="J531" s="17" t="s">
        <v>67</v>
      </c>
      <c r="K531" s="17"/>
      <c r="L531" s="17"/>
      <c r="M531" s="16"/>
      <c r="N531" s="30"/>
    </row>
    <row r="532" spans="1:14" ht="48" x14ac:dyDescent="0.25">
      <c r="A532" s="19" t="s">
        <v>7881</v>
      </c>
      <c r="B532" s="17" t="s">
        <v>7880</v>
      </c>
      <c r="C532" s="20">
        <v>1</v>
      </c>
      <c r="D532" s="18">
        <v>59</v>
      </c>
      <c r="E532" s="20">
        <v>2360617</v>
      </c>
      <c r="F532" s="17" t="s">
        <v>2575</v>
      </c>
      <c r="G532" s="19" t="s">
        <v>50</v>
      </c>
      <c r="H532" s="18">
        <v>9.7666666666666675</v>
      </c>
      <c r="I532" s="17" t="s">
        <v>80</v>
      </c>
      <c r="J532" s="17" t="s">
        <v>293</v>
      </c>
      <c r="K532" s="17"/>
      <c r="L532" s="17"/>
      <c r="M532" s="16"/>
      <c r="N532" s="30"/>
    </row>
    <row r="533" spans="1:14" ht="48" x14ac:dyDescent="0.25">
      <c r="A533" s="19" t="s">
        <v>7879</v>
      </c>
      <c r="B533" s="17" t="s">
        <v>7878</v>
      </c>
      <c r="C533" s="20">
        <v>1</v>
      </c>
      <c r="D533" s="18">
        <v>49</v>
      </c>
      <c r="E533" s="20">
        <v>2321661</v>
      </c>
      <c r="F533" s="17" t="s">
        <v>28</v>
      </c>
      <c r="G533" s="19" t="s">
        <v>17</v>
      </c>
      <c r="H533" s="18">
        <v>9.3333333333333339</v>
      </c>
      <c r="I533" s="17" t="s">
        <v>80</v>
      </c>
      <c r="J533" s="17" t="s">
        <v>293</v>
      </c>
      <c r="K533" s="17"/>
      <c r="L533" s="17"/>
      <c r="M533" s="16"/>
      <c r="N533" s="30"/>
    </row>
    <row r="534" spans="1:14" ht="48" x14ac:dyDescent="0.25">
      <c r="A534" s="19" t="s">
        <v>3105</v>
      </c>
      <c r="B534" s="17" t="s">
        <v>3104</v>
      </c>
      <c r="C534" s="20">
        <v>2</v>
      </c>
      <c r="D534" s="18">
        <v>59</v>
      </c>
      <c r="E534" s="20">
        <v>2331630</v>
      </c>
      <c r="F534" s="17" t="s">
        <v>91</v>
      </c>
      <c r="G534" s="19" t="s">
        <v>22</v>
      </c>
      <c r="H534" s="18">
        <v>9.3333333333333339</v>
      </c>
      <c r="I534" s="17" t="s">
        <v>80</v>
      </c>
      <c r="J534" s="17" t="s">
        <v>293</v>
      </c>
      <c r="K534" s="17"/>
      <c r="L534" s="17"/>
      <c r="M534" s="16"/>
      <c r="N534" s="30"/>
    </row>
    <row r="535" spans="1:14" ht="48" x14ac:dyDescent="0.25">
      <c r="A535" s="19" t="s">
        <v>7877</v>
      </c>
      <c r="B535" s="17" t="s">
        <v>7876</v>
      </c>
      <c r="C535" s="20">
        <v>1</v>
      </c>
      <c r="D535" s="18">
        <v>49</v>
      </c>
      <c r="E535" s="20" t="s">
        <v>7875</v>
      </c>
      <c r="F535" s="17" t="s">
        <v>575</v>
      </c>
      <c r="G535" s="19" t="s">
        <v>74</v>
      </c>
      <c r="H535" s="18">
        <v>9.1600000000000019</v>
      </c>
      <c r="I535" s="17" t="s">
        <v>820</v>
      </c>
      <c r="J535" s="17" t="s">
        <v>67</v>
      </c>
      <c r="K535" s="17"/>
      <c r="L535" s="17"/>
      <c r="M535" s="16"/>
      <c r="N535" s="30"/>
    </row>
    <row r="536" spans="1:14" ht="48" x14ac:dyDescent="0.25">
      <c r="A536" s="19" t="s">
        <v>7874</v>
      </c>
      <c r="B536" s="17" t="s">
        <v>7873</v>
      </c>
      <c r="C536" s="20">
        <v>1</v>
      </c>
      <c r="D536" s="18">
        <v>79</v>
      </c>
      <c r="E536" s="20">
        <v>2360222</v>
      </c>
      <c r="F536" s="17" t="s">
        <v>508</v>
      </c>
      <c r="G536" s="19" t="s">
        <v>313</v>
      </c>
      <c r="H536" s="18">
        <v>8.1066666666666674</v>
      </c>
      <c r="I536" s="17" t="s">
        <v>80</v>
      </c>
      <c r="J536" s="17" t="s">
        <v>293</v>
      </c>
      <c r="K536" s="17"/>
      <c r="L536" s="17"/>
      <c r="M536" s="16"/>
      <c r="N536" s="30"/>
    </row>
    <row r="537" spans="1:14" ht="60" x14ac:dyDescent="0.25">
      <c r="A537" s="19" t="s">
        <v>7872</v>
      </c>
      <c r="B537" s="17" t="s">
        <v>3094</v>
      </c>
      <c r="C537" s="20">
        <v>2</v>
      </c>
      <c r="D537" s="18">
        <v>48</v>
      </c>
      <c r="E537" s="20">
        <v>30090342</v>
      </c>
      <c r="F537" s="17" t="s">
        <v>28</v>
      </c>
      <c r="G537" s="19" t="s">
        <v>698</v>
      </c>
      <c r="H537" s="18">
        <v>8</v>
      </c>
      <c r="I537" s="17" t="s">
        <v>1777</v>
      </c>
      <c r="J537" s="17" t="s">
        <v>1776</v>
      </c>
      <c r="K537" s="17"/>
      <c r="L537" s="17"/>
      <c r="M537" s="16"/>
      <c r="N537" s="30"/>
    </row>
    <row r="538" spans="1:14" ht="60" x14ac:dyDescent="0.25">
      <c r="A538" s="19" t="s">
        <v>3095</v>
      </c>
      <c r="B538" s="17" t="s">
        <v>3094</v>
      </c>
      <c r="C538" s="20">
        <v>1</v>
      </c>
      <c r="D538" s="18">
        <v>48</v>
      </c>
      <c r="E538" s="20">
        <v>30090342</v>
      </c>
      <c r="F538" s="17" t="s">
        <v>28</v>
      </c>
      <c r="G538" s="19" t="s">
        <v>116</v>
      </c>
      <c r="H538" s="18">
        <v>8</v>
      </c>
      <c r="I538" s="17" t="s">
        <v>1777</v>
      </c>
      <c r="J538" s="17" t="s">
        <v>1776</v>
      </c>
      <c r="K538" s="17"/>
      <c r="L538" s="17"/>
      <c r="M538" s="16"/>
      <c r="N538" s="30"/>
    </row>
    <row r="539" spans="1:14" ht="60" x14ac:dyDescent="0.25">
      <c r="A539" s="19" t="s">
        <v>7871</v>
      </c>
      <c r="B539" s="17" t="s">
        <v>3094</v>
      </c>
      <c r="C539" s="20">
        <v>1</v>
      </c>
      <c r="D539" s="18">
        <v>48</v>
      </c>
      <c r="E539" s="20">
        <v>30090342</v>
      </c>
      <c r="F539" s="17" t="s">
        <v>28</v>
      </c>
      <c r="G539" s="19" t="s">
        <v>658</v>
      </c>
      <c r="H539" s="18">
        <v>8</v>
      </c>
      <c r="I539" s="17" t="s">
        <v>1777</v>
      </c>
      <c r="J539" s="17" t="s">
        <v>1776</v>
      </c>
      <c r="K539" s="17"/>
      <c r="L539" s="17"/>
      <c r="M539" s="16"/>
      <c r="N539" s="30"/>
    </row>
    <row r="540" spans="1:14" ht="60" x14ac:dyDescent="0.25">
      <c r="A540" s="19" t="s">
        <v>7870</v>
      </c>
      <c r="B540" s="17" t="s">
        <v>7869</v>
      </c>
      <c r="C540" s="20">
        <v>1</v>
      </c>
      <c r="D540" s="18">
        <v>46</v>
      </c>
      <c r="E540" s="20">
        <v>30138384</v>
      </c>
      <c r="F540" s="17" t="s">
        <v>51</v>
      </c>
      <c r="G540" s="19" t="s">
        <v>749</v>
      </c>
      <c r="H540" s="18">
        <v>7.6666666666666661</v>
      </c>
      <c r="I540" s="17" t="s">
        <v>1777</v>
      </c>
      <c r="J540" s="17" t="s">
        <v>1776</v>
      </c>
      <c r="K540" s="17"/>
      <c r="L540" s="17"/>
      <c r="M540" s="16"/>
      <c r="N540" s="30"/>
    </row>
    <row r="541" spans="1:14" ht="48" x14ac:dyDescent="0.25">
      <c r="A541" s="19" t="s">
        <v>7868</v>
      </c>
      <c r="B541" s="17" t="s">
        <v>7867</v>
      </c>
      <c r="C541" s="20">
        <v>1</v>
      </c>
      <c r="D541" s="18">
        <v>39.5</v>
      </c>
      <c r="E541" s="20" t="s">
        <v>7866</v>
      </c>
      <c r="F541" s="17" t="s">
        <v>206</v>
      </c>
      <c r="G541" s="19" t="s">
        <v>197</v>
      </c>
      <c r="H541" s="18">
        <v>7.4400000000000013</v>
      </c>
      <c r="I541" s="17" t="s">
        <v>68</v>
      </c>
      <c r="J541" s="17" t="s">
        <v>67</v>
      </c>
      <c r="K541" s="17"/>
      <c r="L541" s="17"/>
      <c r="M541" s="16"/>
      <c r="N541" s="30"/>
    </row>
    <row r="542" spans="1:14" ht="48" x14ac:dyDescent="0.25">
      <c r="A542" s="19" t="s">
        <v>7865</v>
      </c>
      <c r="B542" s="17" t="s">
        <v>7864</v>
      </c>
      <c r="C542" s="20">
        <v>1</v>
      </c>
      <c r="D542" s="18">
        <v>27.3</v>
      </c>
      <c r="E542" s="20" t="s">
        <v>3290</v>
      </c>
      <c r="F542" s="17" t="s">
        <v>23</v>
      </c>
      <c r="G542" s="19" t="s">
        <v>74</v>
      </c>
      <c r="H542" s="18">
        <v>7.120000000000001</v>
      </c>
      <c r="I542" s="17" t="s">
        <v>42</v>
      </c>
      <c r="J542" s="17" t="s">
        <v>41</v>
      </c>
      <c r="K542" s="17"/>
      <c r="L542" s="17"/>
      <c r="M542" s="16"/>
      <c r="N542" s="30"/>
    </row>
    <row r="543" spans="1:14" ht="48" x14ac:dyDescent="0.25">
      <c r="A543" s="19" t="s">
        <v>7863</v>
      </c>
      <c r="B543" s="17" t="s">
        <v>7862</v>
      </c>
      <c r="C543" s="20">
        <v>1</v>
      </c>
      <c r="D543" s="18">
        <v>39</v>
      </c>
      <c r="E543" s="20" t="s">
        <v>7861</v>
      </c>
      <c r="F543" s="17" t="s">
        <v>51</v>
      </c>
      <c r="G543" s="19" t="s">
        <v>271</v>
      </c>
      <c r="H543" s="18">
        <v>7.0000000000000009</v>
      </c>
      <c r="I543" s="17" t="s">
        <v>550</v>
      </c>
      <c r="J543" s="17" t="s">
        <v>7860</v>
      </c>
      <c r="K543" s="17"/>
      <c r="L543" s="17"/>
      <c r="M543" s="16"/>
      <c r="N543" s="30"/>
    </row>
    <row r="544" spans="1:14" ht="36" x14ac:dyDescent="0.25">
      <c r="A544" s="19" t="s">
        <v>7859</v>
      </c>
      <c r="B544" s="17" t="s">
        <v>7858</v>
      </c>
      <c r="C544" s="20">
        <v>1</v>
      </c>
      <c r="D544" s="18">
        <v>35</v>
      </c>
      <c r="E544" s="20" t="s">
        <v>7857</v>
      </c>
      <c r="F544" s="17"/>
      <c r="G544" s="19" t="s">
        <v>57</v>
      </c>
      <c r="H544" s="18">
        <v>6.666666666666667</v>
      </c>
      <c r="I544" s="17" t="s">
        <v>80</v>
      </c>
      <c r="J544" s="17" t="s">
        <v>187</v>
      </c>
      <c r="K544" s="17"/>
      <c r="L544" s="17"/>
      <c r="M544" s="16"/>
      <c r="N544" s="30"/>
    </row>
    <row r="545" spans="1:14" ht="36" x14ac:dyDescent="0.25">
      <c r="A545" s="19" t="s">
        <v>7856</v>
      </c>
      <c r="B545" s="17" t="s">
        <v>7855</v>
      </c>
      <c r="C545" s="20">
        <v>1</v>
      </c>
      <c r="D545" s="18">
        <v>44</v>
      </c>
      <c r="E545" s="20" t="s">
        <v>7854</v>
      </c>
      <c r="F545" s="17" t="s">
        <v>1536</v>
      </c>
      <c r="G545" s="19" t="s">
        <v>139</v>
      </c>
      <c r="H545" s="18">
        <v>6</v>
      </c>
      <c r="I545" s="17" t="s">
        <v>550</v>
      </c>
      <c r="J545" s="17" t="s">
        <v>7853</v>
      </c>
      <c r="K545" s="17"/>
      <c r="L545" s="17"/>
      <c r="M545" s="16"/>
      <c r="N545" s="30"/>
    </row>
    <row r="546" spans="1:14" ht="48" x14ac:dyDescent="0.25">
      <c r="A546" s="19" t="s">
        <v>7852</v>
      </c>
      <c r="B546" s="17" t="s">
        <v>7851</v>
      </c>
      <c r="C546" s="20">
        <v>1</v>
      </c>
      <c r="D546" s="18">
        <v>34</v>
      </c>
      <c r="E546" s="20">
        <v>2350600</v>
      </c>
      <c r="F546" s="17" t="s">
        <v>562</v>
      </c>
      <c r="G546" s="19" t="s">
        <v>101</v>
      </c>
      <c r="H546" s="18">
        <v>4.4666666666666668</v>
      </c>
      <c r="I546" s="17" t="s">
        <v>80</v>
      </c>
      <c r="J546" s="17" t="s">
        <v>293</v>
      </c>
      <c r="K546" s="17"/>
      <c r="L546" s="17"/>
      <c r="M546" s="16"/>
      <c r="N546" s="30"/>
    </row>
  </sheetData>
  <pageMargins left="0.5" right="0.5" top="0.25" bottom="0.25" header="0.3" footer="0.3"/>
  <pageSetup scale="65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74"/>
  <sheetViews>
    <sheetView workbookViewId="0">
      <selection activeCell="K2" sqref="K2"/>
    </sheetView>
  </sheetViews>
  <sheetFormatPr defaultRowHeight="15" x14ac:dyDescent="0.25"/>
  <cols>
    <col min="1" max="1" width="14.140625" style="15" bestFit="1" customWidth="1"/>
    <col min="2" max="2" width="51.42578125" style="15" customWidth="1"/>
    <col min="3" max="3" width="12.42578125" style="15" bestFit="1" customWidth="1"/>
    <col min="4" max="4" width="8.7109375" style="15" bestFit="1" customWidth="1"/>
    <col min="5" max="5" width="16.140625" style="15" bestFit="1" customWidth="1"/>
    <col min="6" max="6" width="13.28515625" style="15" bestFit="1" customWidth="1"/>
    <col min="7" max="7" width="10.28515625" style="15" customWidth="1"/>
    <col min="8" max="8" width="11.7109375" style="15" bestFit="1" customWidth="1"/>
    <col min="9" max="11" width="11.42578125" style="15" customWidth="1"/>
    <col min="12" max="12" width="7.42578125" style="15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4" ht="36" x14ac:dyDescent="0.25">
      <c r="A1" s="47" t="s">
        <v>2</v>
      </c>
      <c r="B1" s="47" t="s">
        <v>3</v>
      </c>
      <c r="C1" s="47" t="s">
        <v>5</v>
      </c>
      <c r="D1" s="47" t="s">
        <v>817</v>
      </c>
      <c r="E1" s="47" t="s">
        <v>7</v>
      </c>
      <c r="F1" s="47" t="s">
        <v>816</v>
      </c>
      <c r="G1" s="47" t="s">
        <v>815</v>
      </c>
      <c r="H1" s="47" t="s">
        <v>814</v>
      </c>
      <c r="I1" s="47" t="s">
        <v>10</v>
      </c>
      <c r="J1" s="47"/>
      <c r="K1" s="47"/>
    </row>
    <row r="2" spans="1:14" ht="36" x14ac:dyDescent="0.25">
      <c r="A2" s="17" t="s">
        <v>14</v>
      </c>
      <c r="B2" s="32">
        <v>13812457</v>
      </c>
      <c r="C2" s="17" t="s">
        <v>11</v>
      </c>
      <c r="D2" s="17" t="s">
        <v>813</v>
      </c>
      <c r="E2" s="20">
        <v>1</v>
      </c>
      <c r="F2" s="20">
        <v>4</v>
      </c>
      <c r="G2" s="17">
        <v>516</v>
      </c>
      <c r="H2" s="18">
        <v>47622.37</v>
      </c>
      <c r="I2" s="17">
        <v>644</v>
      </c>
      <c r="J2" s="33"/>
      <c r="K2" s="33"/>
      <c r="L2" s="30"/>
      <c r="M2" s="30"/>
    </row>
    <row r="3" spans="1:14" x14ac:dyDescent="0.25">
      <c r="A3" s="23"/>
      <c r="B3" s="25"/>
      <c r="C3" s="25"/>
      <c r="D3" s="23"/>
      <c r="E3" s="23"/>
      <c r="F3" s="25"/>
      <c r="G3" s="25"/>
      <c r="H3" s="22"/>
      <c r="I3" s="22"/>
      <c r="J3" s="23"/>
      <c r="K3" s="22"/>
      <c r="L3" s="22"/>
    </row>
    <row r="4" spans="1:14" s="21" customFormat="1" x14ac:dyDescent="0.25"/>
    <row r="5" spans="1:14" x14ac:dyDescent="0.25">
      <c r="A5" s="1"/>
      <c r="B5" s="1"/>
      <c r="C5" s="1"/>
      <c r="D5" s="1"/>
    </row>
    <row r="6" spans="1:14" x14ac:dyDescent="0.25">
      <c r="A6" s="24"/>
      <c r="B6" s="23"/>
      <c r="C6" s="22"/>
      <c r="D6" s="22"/>
    </row>
    <row r="7" spans="1:14" s="21" customFormat="1" x14ac:dyDescent="0.25"/>
    <row r="8" spans="1:14" ht="36" x14ac:dyDescent="0.25">
      <c r="A8" s="47" t="s">
        <v>812</v>
      </c>
      <c r="B8" s="47" t="s">
        <v>811</v>
      </c>
      <c r="C8" s="47" t="s">
        <v>810</v>
      </c>
      <c r="D8" s="47" t="s">
        <v>9</v>
      </c>
      <c r="E8" s="47" t="s">
        <v>809</v>
      </c>
      <c r="F8" s="47" t="s">
        <v>808</v>
      </c>
      <c r="G8" s="47" t="s">
        <v>807</v>
      </c>
      <c r="H8" s="47" t="s">
        <v>806</v>
      </c>
      <c r="I8" s="47" t="s">
        <v>805</v>
      </c>
      <c r="J8" s="47" t="s">
        <v>804</v>
      </c>
      <c r="K8" s="47" t="s">
        <v>803</v>
      </c>
      <c r="L8" s="47" t="s">
        <v>802</v>
      </c>
      <c r="M8" s="47" t="s">
        <v>801</v>
      </c>
    </row>
    <row r="9" spans="1:14" ht="60" x14ac:dyDescent="0.25">
      <c r="A9" s="19" t="s">
        <v>10009</v>
      </c>
      <c r="B9" s="17" t="s">
        <v>10008</v>
      </c>
      <c r="C9" s="20">
        <v>1</v>
      </c>
      <c r="D9" s="18">
        <v>355</v>
      </c>
      <c r="E9" s="20">
        <v>536119176000010</v>
      </c>
      <c r="F9" s="17" t="s">
        <v>75</v>
      </c>
      <c r="G9" s="19" t="s">
        <v>197</v>
      </c>
      <c r="H9" s="18">
        <v>98.666666666666671</v>
      </c>
      <c r="I9" s="17" t="s">
        <v>158</v>
      </c>
      <c r="J9" s="17" t="s">
        <v>157</v>
      </c>
      <c r="K9" s="17"/>
      <c r="L9" s="17"/>
      <c r="M9" s="16" t="str">
        <f>HYPERLINK("http://slimages.macys.com/is/image/MCY/18543416 ")</f>
        <v xml:space="preserve">http://slimages.macys.com/is/image/MCY/18543416 </v>
      </c>
      <c r="N9" s="30"/>
    </row>
    <row r="10" spans="1:14" ht="60" x14ac:dyDescent="0.25">
      <c r="A10" s="19" t="s">
        <v>10007</v>
      </c>
      <c r="B10" s="17" t="s">
        <v>10006</v>
      </c>
      <c r="C10" s="20">
        <v>1</v>
      </c>
      <c r="D10" s="18">
        <v>210</v>
      </c>
      <c r="E10" s="20">
        <v>594607196000020</v>
      </c>
      <c r="F10" s="17" t="s">
        <v>282</v>
      </c>
      <c r="G10" s="19" t="s">
        <v>197</v>
      </c>
      <c r="H10" s="18">
        <v>58.666666666666671</v>
      </c>
      <c r="I10" s="17" t="s">
        <v>158</v>
      </c>
      <c r="J10" s="17" t="s">
        <v>157</v>
      </c>
      <c r="K10" s="17"/>
      <c r="L10" s="17"/>
      <c r="M10" s="16" t="str">
        <f>HYPERLINK("http://slimages.macys.com/is/image/MCY/19224035 ")</f>
        <v xml:space="preserve">http://slimages.macys.com/is/image/MCY/19224035 </v>
      </c>
      <c r="N10" s="30"/>
    </row>
    <row r="11" spans="1:14" ht="84" x14ac:dyDescent="0.25">
      <c r="A11" s="19" t="s">
        <v>10005</v>
      </c>
      <c r="B11" s="17" t="s">
        <v>10004</v>
      </c>
      <c r="C11" s="20">
        <v>1</v>
      </c>
      <c r="D11" s="18">
        <v>198</v>
      </c>
      <c r="E11" s="20" t="s">
        <v>10003</v>
      </c>
      <c r="F11" s="17" t="s">
        <v>97</v>
      </c>
      <c r="G11" s="19" t="s">
        <v>69</v>
      </c>
      <c r="H11" s="18">
        <v>56.84</v>
      </c>
      <c r="I11" s="17" t="s">
        <v>153</v>
      </c>
      <c r="J11" s="17" t="s">
        <v>153</v>
      </c>
      <c r="K11" s="17" t="s">
        <v>637</v>
      </c>
      <c r="L11" s="17" t="s">
        <v>10002</v>
      </c>
      <c r="M11" s="16" t="str">
        <f>HYPERLINK("http://images.bloomingdales.com/is/image/BLM/11538233 ")</f>
        <v xml:space="preserve">http://images.bloomingdales.com/is/image/BLM/11538233 </v>
      </c>
      <c r="N11" s="30"/>
    </row>
    <row r="12" spans="1:14" ht="60" x14ac:dyDescent="0.25">
      <c r="A12" s="19" t="s">
        <v>10001</v>
      </c>
      <c r="B12" s="17" t="s">
        <v>10000</v>
      </c>
      <c r="C12" s="20">
        <v>1</v>
      </c>
      <c r="D12" s="18">
        <v>178</v>
      </c>
      <c r="E12" s="20" t="s">
        <v>3059</v>
      </c>
      <c r="F12" s="17"/>
      <c r="G12" s="19" t="s">
        <v>2295</v>
      </c>
      <c r="H12" s="18">
        <v>51.04</v>
      </c>
      <c r="I12" s="17" t="s">
        <v>756</v>
      </c>
      <c r="J12" s="17" t="s">
        <v>153</v>
      </c>
      <c r="K12" s="17"/>
      <c r="L12" s="17"/>
      <c r="M12" s="16" t="str">
        <f>HYPERLINK("http://slimages.macys.com/is/image/MCY/18662390 ")</f>
        <v xml:space="preserve">http://slimages.macys.com/is/image/MCY/18662390 </v>
      </c>
      <c r="N12" s="30"/>
    </row>
    <row r="13" spans="1:14" ht="60" x14ac:dyDescent="0.25">
      <c r="A13" s="19" t="s">
        <v>9999</v>
      </c>
      <c r="B13" s="17" t="s">
        <v>9998</v>
      </c>
      <c r="C13" s="20">
        <v>1</v>
      </c>
      <c r="D13" s="18">
        <v>146</v>
      </c>
      <c r="E13" s="20" t="s">
        <v>6980</v>
      </c>
      <c r="F13" s="17" t="s">
        <v>23</v>
      </c>
      <c r="G13" s="19" t="s">
        <v>69</v>
      </c>
      <c r="H13" s="18">
        <v>48.666666666666664</v>
      </c>
      <c r="I13" s="17" t="s">
        <v>133</v>
      </c>
      <c r="J13" s="17" t="s">
        <v>1530</v>
      </c>
      <c r="K13" s="17"/>
      <c r="L13" s="17"/>
      <c r="M13" s="16" t="str">
        <f>HYPERLINK("http://slimages.macys.com/is/image/MCY/19003006 ")</f>
        <v xml:space="preserve">http://slimages.macys.com/is/image/MCY/19003006 </v>
      </c>
      <c r="N13" s="30"/>
    </row>
    <row r="14" spans="1:14" ht="132" x14ac:dyDescent="0.25">
      <c r="A14" s="19" t="s">
        <v>9997</v>
      </c>
      <c r="B14" s="17" t="s">
        <v>9996</v>
      </c>
      <c r="C14" s="20">
        <v>1</v>
      </c>
      <c r="D14" s="18">
        <v>168</v>
      </c>
      <c r="E14" s="20" t="s">
        <v>9995</v>
      </c>
      <c r="F14" s="17" t="s">
        <v>345</v>
      </c>
      <c r="G14" s="19" t="s">
        <v>271</v>
      </c>
      <c r="H14" s="18">
        <v>48.14</v>
      </c>
      <c r="I14" s="17" t="s">
        <v>153</v>
      </c>
      <c r="J14" s="17" t="s">
        <v>153</v>
      </c>
      <c r="K14" s="17" t="s">
        <v>637</v>
      </c>
      <c r="L14" s="17" t="s">
        <v>9994</v>
      </c>
      <c r="M14" s="16" t="str">
        <f>HYPERLINK("http://images.bloomingdales.com/is/image/BLM/11417672 ")</f>
        <v xml:space="preserve">http://images.bloomingdales.com/is/image/BLM/11417672 </v>
      </c>
      <c r="N14" s="30"/>
    </row>
    <row r="15" spans="1:14" ht="84" x14ac:dyDescent="0.25">
      <c r="A15" s="19" t="s">
        <v>9993</v>
      </c>
      <c r="B15" s="17" t="s">
        <v>9992</v>
      </c>
      <c r="C15" s="20">
        <v>1</v>
      </c>
      <c r="D15" s="18">
        <v>179</v>
      </c>
      <c r="E15" s="20" t="s">
        <v>4095</v>
      </c>
      <c r="F15" s="17" t="s">
        <v>28</v>
      </c>
      <c r="G15" s="19"/>
      <c r="H15" s="18">
        <v>48</v>
      </c>
      <c r="I15" s="17" t="s">
        <v>148</v>
      </c>
      <c r="J15" s="17" t="s">
        <v>147</v>
      </c>
      <c r="K15" s="17" t="s">
        <v>771</v>
      </c>
      <c r="L15" s="17" t="s">
        <v>4094</v>
      </c>
      <c r="M15" s="16" t="str">
        <f>HYPERLINK("http://images.bloomingdales.com/is/image/BLM/9175117 ")</f>
        <v xml:space="preserve">http://images.bloomingdales.com/is/image/BLM/9175117 </v>
      </c>
      <c r="N15" s="30"/>
    </row>
    <row r="16" spans="1:14" ht="60" x14ac:dyDescent="0.25">
      <c r="A16" s="19" t="s">
        <v>9991</v>
      </c>
      <c r="B16" s="17" t="s">
        <v>9990</v>
      </c>
      <c r="C16" s="20">
        <v>1</v>
      </c>
      <c r="D16" s="18">
        <v>199</v>
      </c>
      <c r="E16" s="20" t="s">
        <v>1527</v>
      </c>
      <c r="F16" s="17" t="s">
        <v>1526</v>
      </c>
      <c r="G16" s="19" t="s">
        <v>698</v>
      </c>
      <c r="H16" s="18">
        <v>46.433333333333337</v>
      </c>
      <c r="I16" s="17" t="s">
        <v>854</v>
      </c>
      <c r="J16" s="17" t="s">
        <v>496</v>
      </c>
      <c r="K16" s="17"/>
      <c r="L16" s="17"/>
      <c r="M16" s="16" t="str">
        <f>HYPERLINK("http://slimages.macys.com/is/image/MCY/18137888 ")</f>
        <v xml:space="preserve">http://slimages.macys.com/is/image/MCY/18137888 </v>
      </c>
      <c r="N16" s="30"/>
    </row>
    <row r="17" spans="1:14" ht="60" x14ac:dyDescent="0.25">
      <c r="A17" s="19" t="s">
        <v>9989</v>
      </c>
      <c r="B17" s="17" t="s">
        <v>9988</v>
      </c>
      <c r="C17" s="20">
        <v>1</v>
      </c>
      <c r="D17" s="18">
        <v>135</v>
      </c>
      <c r="E17" s="20" t="s">
        <v>9987</v>
      </c>
      <c r="F17" s="17" t="s">
        <v>919</v>
      </c>
      <c r="G17" s="19" t="s">
        <v>69</v>
      </c>
      <c r="H17" s="18">
        <v>40</v>
      </c>
      <c r="I17" s="17" t="s">
        <v>133</v>
      </c>
      <c r="J17" s="17" t="s">
        <v>6898</v>
      </c>
      <c r="K17" s="17"/>
      <c r="L17" s="17"/>
      <c r="M17" s="16" t="str">
        <f>HYPERLINK("http://slimages.macys.com/is/image/MCY/19109799 ")</f>
        <v xml:space="preserve">http://slimages.macys.com/is/image/MCY/19109799 </v>
      </c>
      <c r="N17" s="30"/>
    </row>
    <row r="18" spans="1:14" ht="60" x14ac:dyDescent="0.25">
      <c r="A18" s="19" t="s">
        <v>9986</v>
      </c>
      <c r="B18" s="17" t="s">
        <v>9985</v>
      </c>
      <c r="C18" s="20">
        <v>1</v>
      </c>
      <c r="D18" s="18">
        <v>128</v>
      </c>
      <c r="E18" s="20" t="s">
        <v>9984</v>
      </c>
      <c r="F18" s="17" t="s">
        <v>919</v>
      </c>
      <c r="G18" s="19" t="s">
        <v>2269</v>
      </c>
      <c r="H18" s="18">
        <v>38.666666666666664</v>
      </c>
      <c r="I18" s="17" t="s">
        <v>148</v>
      </c>
      <c r="J18" s="17" t="s">
        <v>147</v>
      </c>
      <c r="K18" s="17"/>
      <c r="L18" s="17"/>
      <c r="M18" s="16" t="str">
        <f>HYPERLINK("http://slimages.macys.com/is/image/MCY/18673084 ")</f>
        <v xml:space="preserve">http://slimages.macys.com/is/image/MCY/18673084 </v>
      </c>
      <c r="N18" s="30"/>
    </row>
    <row r="19" spans="1:14" ht="60" x14ac:dyDescent="0.25">
      <c r="A19" s="19" t="s">
        <v>9983</v>
      </c>
      <c r="B19" s="17" t="s">
        <v>9982</v>
      </c>
      <c r="C19" s="20">
        <v>1</v>
      </c>
      <c r="D19" s="18">
        <v>145</v>
      </c>
      <c r="E19" s="20" t="s">
        <v>9981</v>
      </c>
      <c r="F19" s="17" t="s">
        <v>35</v>
      </c>
      <c r="G19" s="19" t="s">
        <v>9980</v>
      </c>
      <c r="H19" s="18">
        <v>38.666666666666664</v>
      </c>
      <c r="I19" s="17" t="s">
        <v>481</v>
      </c>
      <c r="J19" s="17" t="s">
        <v>2282</v>
      </c>
      <c r="K19" s="17"/>
      <c r="L19" s="17"/>
      <c r="M19" s="16" t="str">
        <f>HYPERLINK("http://slimages.macys.com/is/image/MCY/19394915 ")</f>
        <v xml:space="preserve">http://slimages.macys.com/is/image/MCY/19394915 </v>
      </c>
      <c r="N19" s="30"/>
    </row>
    <row r="20" spans="1:14" ht="60" x14ac:dyDescent="0.25">
      <c r="A20" s="19" t="s">
        <v>9979</v>
      </c>
      <c r="B20" s="17" t="s">
        <v>9978</v>
      </c>
      <c r="C20" s="20">
        <v>1</v>
      </c>
      <c r="D20" s="18">
        <v>120</v>
      </c>
      <c r="E20" s="20" t="s">
        <v>9977</v>
      </c>
      <c r="F20" s="17" t="s">
        <v>23</v>
      </c>
      <c r="G20" s="19" t="s">
        <v>857</v>
      </c>
      <c r="H20" s="18">
        <v>36.666666666666671</v>
      </c>
      <c r="I20" s="17" t="s">
        <v>481</v>
      </c>
      <c r="J20" s="17" t="s">
        <v>1500</v>
      </c>
      <c r="K20" s="17"/>
      <c r="L20" s="17"/>
      <c r="M20" s="16" t="str">
        <f>HYPERLINK("http://slimages.macys.com/is/image/MCY/18684901 ")</f>
        <v xml:space="preserve">http://slimages.macys.com/is/image/MCY/18684901 </v>
      </c>
      <c r="N20" s="30"/>
    </row>
    <row r="21" spans="1:14" ht="60" x14ac:dyDescent="0.25">
      <c r="A21" s="19" t="s">
        <v>9976</v>
      </c>
      <c r="B21" s="17" t="s">
        <v>9975</v>
      </c>
      <c r="C21" s="20">
        <v>1</v>
      </c>
      <c r="D21" s="18">
        <v>120</v>
      </c>
      <c r="E21" s="20" t="s">
        <v>4071</v>
      </c>
      <c r="F21" s="17"/>
      <c r="G21" s="19" t="s">
        <v>96</v>
      </c>
      <c r="H21" s="18">
        <v>36.666666666666671</v>
      </c>
      <c r="I21" s="17" t="s">
        <v>481</v>
      </c>
      <c r="J21" s="17" t="s">
        <v>1500</v>
      </c>
      <c r="K21" s="17"/>
      <c r="L21" s="17"/>
      <c r="M21" s="16" t="str">
        <f>HYPERLINK("http://slimages.macys.com/is/image/MCY/19009224 ")</f>
        <v xml:space="preserve">http://slimages.macys.com/is/image/MCY/19009224 </v>
      </c>
      <c r="N21" s="30"/>
    </row>
    <row r="22" spans="1:14" ht="96" x14ac:dyDescent="0.25">
      <c r="A22" s="19" t="s">
        <v>9974</v>
      </c>
      <c r="B22" s="17" t="s">
        <v>9973</v>
      </c>
      <c r="C22" s="20">
        <v>1</v>
      </c>
      <c r="D22" s="18">
        <v>148</v>
      </c>
      <c r="E22" s="20" t="s">
        <v>6140</v>
      </c>
      <c r="F22" s="17"/>
      <c r="G22" s="19" t="s">
        <v>62</v>
      </c>
      <c r="H22" s="18">
        <v>35.4</v>
      </c>
      <c r="I22" s="17" t="s">
        <v>133</v>
      </c>
      <c r="J22" s="17" t="s">
        <v>132</v>
      </c>
      <c r="K22" s="17" t="s">
        <v>637</v>
      </c>
      <c r="L22" s="17" t="s">
        <v>9972</v>
      </c>
      <c r="M22" s="16" t="str">
        <f>HYPERLINK("http://images.bloomingdales.com/is/image/BLM/11310738 ")</f>
        <v xml:space="preserve">http://images.bloomingdales.com/is/image/BLM/11310738 </v>
      </c>
      <c r="N22" s="30"/>
    </row>
    <row r="23" spans="1:14" ht="60" x14ac:dyDescent="0.25">
      <c r="A23" s="19" t="s">
        <v>9971</v>
      </c>
      <c r="B23" s="17" t="s">
        <v>9970</v>
      </c>
      <c r="C23" s="20">
        <v>1</v>
      </c>
      <c r="D23" s="18">
        <v>125</v>
      </c>
      <c r="E23" s="20">
        <v>554603046000010</v>
      </c>
      <c r="F23" s="17" t="s">
        <v>514</v>
      </c>
      <c r="G23" s="19" t="s">
        <v>2031</v>
      </c>
      <c r="H23" s="18">
        <v>34.666666666666671</v>
      </c>
      <c r="I23" s="17" t="s">
        <v>158</v>
      </c>
      <c r="J23" s="17" t="s">
        <v>157</v>
      </c>
      <c r="K23" s="17"/>
      <c r="L23" s="17"/>
      <c r="M23" s="16" t="str">
        <f>HYPERLINK("http://slimages.macys.com/is/image/MCY/17806685 ")</f>
        <v xml:space="preserve">http://slimages.macys.com/is/image/MCY/17806685 </v>
      </c>
      <c r="N23" s="30"/>
    </row>
    <row r="24" spans="1:14" ht="60" x14ac:dyDescent="0.25">
      <c r="A24" s="19" t="s">
        <v>9969</v>
      </c>
      <c r="B24" s="17" t="s">
        <v>9968</v>
      </c>
      <c r="C24" s="20">
        <v>1</v>
      </c>
      <c r="D24" s="18">
        <v>169</v>
      </c>
      <c r="E24" s="20" t="s">
        <v>9967</v>
      </c>
      <c r="F24" s="17" t="s">
        <v>51</v>
      </c>
      <c r="G24" s="19" t="s">
        <v>898</v>
      </c>
      <c r="H24" s="18">
        <v>33.800000000000004</v>
      </c>
      <c r="I24" s="17" t="s">
        <v>115</v>
      </c>
      <c r="J24" s="17" t="s">
        <v>8688</v>
      </c>
      <c r="K24" s="17"/>
      <c r="L24" s="17"/>
      <c r="M24" s="16" t="str">
        <f>HYPERLINK("http://slimages.macys.com/is/image/MCY/18266701 ")</f>
        <v xml:space="preserve">http://slimages.macys.com/is/image/MCY/18266701 </v>
      </c>
      <c r="N24" s="30"/>
    </row>
    <row r="25" spans="1:14" ht="60" x14ac:dyDescent="0.25">
      <c r="A25" s="19" t="s">
        <v>9966</v>
      </c>
      <c r="B25" s="17" t="s">
        <v>9965</v>
      </c>
      <c r="C25" s="20">
        <v>1</v>
      </c>
      <c r="D25" s="18">
        <v>150</v>
      </c>
      <c r="E25" s="20" t="s">
        <v>9964</v>
      </c>
      <c r="F25" s="17" t="s">
        <v>3009</v>
      </c>
      <c r="G25" s="19" t="s">
        <v>74</v>
      </c>
      <c r="H25" s="18">
        <v>33</v>
      </c>
      <c r="I25" s="17" t="s">
        <v>158</v>
      </c>
      <c r="J25" s="17" t="s">
        <v>3005</v>
      </c>
      <c r="K25" s="17"/>
      <c r="L25" s="17"/>
      <c r="M25" s="16" t="str">
        <f>HYPERLINK("http://slimages.macys.com/is/image/MCY/18055077 ")</f>
        <v xml:space="preserve">http://slimages.macys.com/is/image/MCY/18055077 </v>
      </c>
      <c r="N25" s="30"/>
    </row>
    <row r="26" spans="1:14" ht="72" x14ac:dyDescent="0.25">
      <c r="A26" s="19" t="s">
        <v>9963</v>
      </c>
      <c r="B26" s="17" t="s">
        <v>9962</v>
      </c>
      <c r="C26" s="20">
        <v>1</v>
      </c>
      <c r="D26" s="18">
        <v>109</v>
      </c>
      <c r="E26" s="20" t="s">
        <v>9961</v>
      </c>
      <c r="F26" s="17" t="s">
        <v>28</v>
      </c>
      <c r="G26" s="19" t="s">
        <v>1862</v>
      </c>
      <c r="H26" s="18">
        <v>32.666666666666671</v>
      </c>
      <c r="I26" s="17" t="s">
        <v>148</v>
      </c>
      <c r="J26" s="17" t="s">
        <v>772</v>
      </c>
      <c r="K26" s="17" t="s">
        <v>771</v>
      </c>
      <c r="L26" s="17" t="s">
        <v>9960</v>
      </c>
      <c r="M26" s="16" t="str">
        <f>HYPERLINK("http://images.bloomingdales.com/is/image/BLM/11523968 ")</f>
        <v xml:space="preserve">http://images.bloomingdales.com/is/image/BLM/11523968 </v>
      </c>
      <c r="N26" s="30"/>
    </row>
    <row r="27" spans="1:14" ht="60" x14ac:dyDescent="0.25">
      <c r="A27" s="19" t="s">
        <v>9959</v>
      </c>
      <c r="B27" s="17" t="s">
        <v>9958</v>
      </c>
      <c r="C27" s="20">
        <v>1</v>
      </c>
      <c r="D27" s="18">
        <v>148</v>
      </c>
      <c r="E27" s="20" t="s">
        <v>9957</v>
      </c>
      <c r="F27" s="17" t="s">
        <v>2876</v>
      </c>
      <c r="G27" s="19" t="s">
        <v>17</v>
      </c>
      <c r="H27" s="18">
        <v>32.660000000000004</v>
      </c>
      <c r="I27" s="17" t="s">
        <v>49</v>
      </c>
      <c r="J27" s="17" t="s">
        <v>48</v>
      </c>
      <c r="K27" s="17"/>
      <c r="L27" s="17"/>
      <c r="M27" s="16" t="str">
        <f>HYPERLINK("http://slimages.macys.com/is/image/MCY/18989252 ")</f>
        <v xml:space="preserve">http://slimages.macys.com/is/image/MCY/18989252 </v>
      </c>
      <c r="N27" s="30"/>
    </row>
    <row r="28" spans="1:14" ht="120" x14ac:dyDescent="0.25">
      <c r="A28" s="19" t="s">
        <v>9956</v>
      </c>
      <c r="B28" s="17" t="s">
        <v>9955</v>
      </c>
      <c r="C28" s="20">
        <v>1</v>
      </c>
      <c r="D28" s="18">
        <v>129</v>
      </c>
      <c r="E28" s="20" t="s">
        <v>9954</v>
      </c>
      <c r="F28" s="17"/>
      <c r="G28" s="19" t="s">
        <v>698</v>
      </c>
      <c r="H28" s="18">
        <v>31.22</v>
      </c>
      <c r="I28" s="17" t="s">
        <v>1363</v>
      </c>
      <c r="J28" s="17" t="s">
        <v>1362</v>
      </c>
      <c r="K28" s="17" t="s">
        <v>637</v>
      </c>
      <c r="L28" s="17" t="s">
        <v>9953</v>
      </c>
      <c r="M28" s="16" t="str">
        <f>HYPERLINK("http://images.bloomingdales.com/is/image/BLM/11234507 ")</f>
        <v xml:space="preserve">http://images.bloomingdales.com/is/image/BLM/11234507 </v>
      </c>
      <c r="N28" s="30"/>
    </row>
    <row r="29" spans="1:14" ht="60" x14ac:dyDescent="0.25">
      <c r="A29" s="19" t="s">
        <v>9952</v>
      </c>
      <c r="B29" s="17" t="s">
        <v>9951</v>
      </c>
      <c r="C29" s="20">
        <v>1</v>
      </c>
      <c r="D29" s="18">
        <v>111.75</v>
      </c>
      <c r="E29" s="20" t="s">
        <v>8892</v>
      </c>
      <c r="F29" s="17" t="s">
        <v>23</v>
      </c>
      <c r="G29" s="19" t="s">
        <v>916</v>
      </c>
      <c r="H29" s="18">
        <v>30.006666666666671</v>
      </c>
      <c r="I29" s="17" t="s">
        <v>358</v>
      </c>
      <c r="J29" s="17" t="s">
        <v>32</v>
      </c>
      <c r="K29" s="17"/>
      <c r="L29" s="17"/>
      <c r="M29" s="16" t="str">
        <f>HYPERLINK("http://slimages.macys.com/is/image/MCY/19002219 ")</f>
        <v xml:space="preserve">http://slimages.macys.com/is/image/MCY/19002219 </v>
      </c>
      <c r="N29" s="30"/>
    </row>
    <row r="30" spans="1:14" ht="60" x14ac:dyDescent="0.25">
      <c r="A30" s="19" t="s">
        <v>9950</v>
      </c>
      <c r="B30" s="17" t="s">
        <v>9949</v>
      </c>
      <c r="C30" s="20">
        <v>1</v>
      </c>
      <c r="D30" s="18">
        <v>149</v>
      </c>
      <c r="E30" s="20" t="s">
        <v>9948</v>
      </c>
      <c r="F30" s="17" t="s">
        <v>1022</v>
      </c>
      <c r="G30" s="19" t="s">
        <v>898</v>
      </c>
      <c r="H30" s="18">
        <v>29.8</v>
      </c>
      <c r="I30" s="17" t="s">
        <v>144</v>
      </c>
      <c r="J30" s="17" t="s">
        <v>496</v>
      </c>
      <c r="K30" s="17"/>
      <c r="L30" s="17"/>
      <c r="M30" s="16" t="str">
        <f>HYPERLINK("http://slimages.macys.com/is/image/MCY/18849620 ")</f>
        <v xml:space="preserve">http://slimages.macys.com/is/image/MCY/18849620 </v>
      </c>
      <c r="N30" s="30"/>
    </row>
    <row r="31" spans="1:14" ht="60" x14ac:dyDescent="0.25">
      <c r="A31" s="19" t="s">
        <v>8887</v>
      </c>
      <c r="B31" s="17" t="s">
        <v>8886</v>
      </c>
      <c r="C31" s="20">
        <v>2</v>
      </c>
      <c r="D31" s="18">
        <v>149</v>
      </c>
      <c r="E31" s="20">
        <v>10803218</v>
      </c>
      <c r="F31" s="17" t="s">
        <v>282</v>
      </c>
      <c r="G31" s="19" t="s">
        <v>271</v>
      </c>
      <c r="H31" s="18">
        <v>29.8</v>
      </c>
      <c r="I31" s="17" t="s">
        <v>358</v>
      </c>
      <c r="J31" s="17" t="s">
        <v>554</v>
      </c>
      <c r="K31" s="17"/>
      <c r="L31" s="17"/>
      <c r="M31" s="16" t="str">
        <f>HYPERLINK("http://slimages.macys.com/is/image/MCY/18874174 ")</f>
        <v xml:space="preserve">http://slimages.macys.com/is/image/MCY/18874174 </v>
      </c>
      <c r="N31" s="30"/>
    </row>
    <row r="32" spans="1:14" ht="84" x14ac:dyDescent="0.25">
      <c r="A32" s="19" t="s">
        <v>9947</v>
      </c>
      <c r="B32" s="17" t="s">
        <v>9946</v>
      </c>
      <c r="C32" s="20">
        <v>1</v>
      </c>
      <c r="D32" s="18">
        <v>81.75</v>
      </c>
      <c r="E32" s="20">
        <v>10749618</v>
      </c>
      <c r="F32" s="17" t="s">
        <v>575</v>
      </c>
      <c r="G32" s="19" t="s">
        <v>880</v>
      </c>
      <c r="H32" s="18">
        <v>29.766666666666666</v>
      </c>
      <c r="I32" s="17" t="s">
        <v>358</v>
      </c>
      <c r="J32" s="17" t="s">
        <v>143</v>
      </c>
      <c r="K32" s="17" t="s">
        <v>389</v>
      </c>
      <c r="L32" s="17" t="s">
        <v>1154</v>
      </c>
      <c r="M32" s="16" t="str">
        <f>HYPERLINK("http://slimages.macys.com/is/image/MCY/15861327 ")</f>
        <v xml:space="preserve">http://slimages.macys.com/is/image/MCY/15861327 </v>
      </c>
      <c r="N32" s="30"/>
    </row>
    <row r="33" spans="1:14" ht="60" x14ac:dyDescent="0.25">
      <c r="A33" s="19" t="s">
        <v>9945</v>
      </c>
      <c r="B33" s="17" t="s">
        <v>9944</v>
      </c>
      <c r="C33" s="20">
        <v>1</v>
      </c>
      <c r="D33" s="18">
        <v>110</v>
      </c>
      <c r="E33" s="20">
        <v>1010</v>
      </c>
      <c r="F33" s="17" t="s">
        <v>272</v>
      </c>
      <c r="G33" s="19" t="s">
        <v>197</v>
      </c>
      <c r="H33" s="18">
        <v>29.333333333333336</v>
      </c>
      <c r="I33" s="17" t="s">
        <v>133</v>
      </c>
      <c r="J33" s="17" t="s">
        <v>1480</v>
      </c>
      <c r="K33" s="17"/>
      <c r="L33" s="17"/>
      <c r="M33" s="16" t="str">
        <f>HYPERLINK("http://slimages.macys.com/is/image/MCY/19008841 ")</f>
        <v xml:space="preserve">http://slimages.macys.com/is/image/MCY/19008841 </v>
      </c>
      <c r="N33" s="30"/>
    </row>
    <row r="34" spans="1:14" ht="60" x14ac:dyDescent="0.25">
      <c r="A34" s="19" t="s">
        <v>9943</v>
      </c>
      <c r="B34" s="17" t="s">
        <v>9942</v>
      </c>
      <c r="C34" s="20">
        <v>1</v>
      </c>
      <c r="D34" s="18">
        <v>111.75</v>
      </c>
      <c r="E34" s="20" t="s">
        <v>9941</v>
      </c>
      <c r="F34" s="17" t="s">
        <v>1382</v>
      </c>
      <c r="G34" s="19" t="s">
        <v>916</v>
      </c>
      <c r="H34" s="18">
        <v>28.126666666666669</v>
      </c>
      <c r="I34" s="17" t="s">
        <v>358</v>
      </c>
      <c r="J34" s="17" t="s">
        <v>32</v>
      </c>
      <c r="K34" s="17"/>
      <c r="L34" s="17"/>
      <c r="M34" s="16" t="str">
        <f>HYPERLINK("http://slimages.macys.com/is/image/MCY/14337227 ")</f>
        <v xml:space="preserve">http://slimages.macys.com/is/image/MCY/14337227 </v>
      </c>
      <c r="N34" s="30"/>
    </row>
    <row r="35" spans="1:14" ht="96" x14ac:dyDescent="0.25">
      <c r="A35" s="19" t="s">
        <v>9940</v>
      </c>
      <c r="B35" s="17" t="s">
        <v>9939</v>
      </c>
      <c r="C35" s="20">
        <v>1</v>
      </c>
      <c r="D35" s="18">
        <v>111.75</v>
      </c>
      <c r="E35" s="20" t="s">
        <v>9938</v>
      </c>
      <c r="F35" s="17" t="s">
        <v>63</v>
      </c>
      <c r="G35" s="19" t="s">
        <v>1968</v>
      </c>
      <c r="H35" s="18">
        <v>27.94</v>
      </c>
      <c r="I35" s="17" t="s">
        <v>33</v>
      </c>
      <c r="J35" s="17" t="s">
        <v>32</v>
      </c>
      <c r="K35" s="17" t="s">
        <v>389</v>
      </c>
      <c r="L35" s="17" t="s">
        <v>1401</v>
      </c>
      <c r="M35" s="16" t="str">
        <f>HYPERLINK("http://slimages.macys.com/is/image/MCY/15001514 ")</f>
        <v xml:space="preserve">http://slimages.macys.com/is/image/MCY/15001514 </v>
      </c>
      <c r="N35" s="30"/>
    </row>
    <row r="36" spans="1:14" ht="96" x14ac:dyDescent="0.25">
      <c r="A36" s="19" t="s">
        <v>9937</v>
      </c>
      <c r="B36" s="17" t="s">
        <v>9936</v>
      </c>
      <c r="C36" s="20">
        <v>1</v>
      </c>
      <c r="D36" s="18">
        <v>139</v>
      </c>
      <c r="E36" s="20" t="s">
        <v>9935</v>
      </c>
      <c r="F36" s="17" t="s">
        <v>544</v>
      </c>
      <c r="G36" s="19" t="s">
        <v>682</v>
      </c>
      <c r="H36" s="18">
        <v>27.8</v>
      </c>
      <c r="I36" s="17" t="s">
        <v>678</v>
      </c>
      <c r="J36" s="17" t="s">
        <v>404</v>
      </c>
      <c r="K36" s="17" t="s">
        <v>389</v>
      </c>
      <c r="L36" s="17" t="s">
        <v>3972</v>
      </c>
      <c r="M36" s="16" t="str">
        <f>HYPERLINK("http://slimages.macys.com/is/image/MCY/11415357 ")</f>
        <v xml:space="preserve">http://slimages.macys.com/is/image/MCY/11415357 </v>
      </c>
      <c r="N36" s="30"/>
    </row>
    <row r="37" spans="1:14" ht="60" x14ac:dyDescent="0.25">
      <c r="A37" s="19" t="s">
        <v>9934</v>
      </c>
      <c r="B37" s="17" t="s">
        <v>9933</v>
      </c>
      <c r="C37" s="20">
        <v>1</v>
      </c>
      <c r="D37" s="18">
        <v>138</v>
      </c>
      <c r="E37" s="20" t="s">
        <v>9932</v>
      </c>
      <c r="F37" s="17" t="s">
        <v>51</v>
      </c>
      <c r="G37" s="19" t="s">
        <v>658</v>
      </c>
      <c r="H37" s="18">
        <v>27.599999999999998</v>
      </c>
      <c r="I37" s="17" t="s">
        <v>115</v>
      </c>
      <c r="J37" s="17" t="s">
        <v>496</v>
      </c>
      <c r="K37" s="17" t="s">
        <v>389</v>
      </c>
      <c r="L37" s="17" t="s">
        <v>662</v>
      </c>
      <c r="M37" s="16" t="str">
        <f>HYPERLINK("http://slimages.macys.com/is/image/MCY/3699630 ")</f>
        <v xml:space="preserve">http://slimages.macys.com/is/image/MCY/3699630 </v>
      </c>
      <c r="N37" s="30"/>
    </row>
    <row r="38" spans="1:14" ht="96" x14ac:dyDescent="0.25">
      <c r="A38" s="19" t="s">
        <v>9931</v>
      </c>
      <c r="B38" s="17" t="s">
        <v>9930</v>
      </c>
      <c r="C38" s="20">
        <v>1</v>
      </c>
      <c r="D38" s="18">
        <v>96.75</v>
      </c>
      <c r="E38" s="20">
        <v>10677864</v>
      </c>
      <c r="F38" s="17" t="s">
        <v>51</v>
      </c>
      <c r="G38" s="19" t="s">
        <v>1191</v>
      </c>
      <c r="H38" s="18">
        <v>27.093333333333334</v>
      </c>
      <c r="I38" s="17" t="s">
        <v>358</v>
      </c>
      <c r="J38" s="17" t="s">
        <v>143</v>
      </c>
      <c r="K38" s="17" t="s">
        <v>389</v>
      </c>
      <c r="L38" s="17" t="s">
        <v>1355</v>
      </c>
      <c r="M38" s="16" t="str">
        <f>HYPERLINK("http://slimages.macys.com/is/image/MCY/10073356 ")</f>
        <v xml:space="preserve">http://slimages.macys.com/is/image/MCY/10073356 </v>
      </c>
      <c r="N38" s="30"/>
    </row>
    <row r="39" spans="1:14" ht="60" x14ac:dyDescent="0.25">
      <c r="A39" s="19" t="s">
        <v>9929</v>
      </c>
      <c r="B39" s="17" t="s">
        <v>9928</v>
      </c>
      <c r="C39" s="20">
        <v>1</v>
      </c>
      <c r="D39" s="18">
        <v>96.75</v>
      </c>
      <c r="E39" s="20">
        <v>10773277</v>
      </c>
      <c r="F39" s="17" t="s">
        <v>508</v>
      </c>
      <c r="G39" s="19"/>
      <c r="H39" s="18">
        <v>27.093333333333334</v>
      </c>
      <c r="I39" s="17" t="s">
        <v>33</v>
      </c>
      <c r="J39" s="17" t="s">
        <v>143</v>
      </c>
      <c r="K39" s="17"/>
      <c r="L39" s="17"/>
      <c r="M39" s="16" t="str">
        <f>HYPERLINK("http://slimages.macys.com/is/image/MCY/17750015 ")</f>
        <v xml:space="preserve">http://slimages.macys.com/is/image/MCY/17750015 </v>
      </c>
      <c r="N39" s="30"/>
    </row>
    <row r="40" spans="1:14" ht="60" x14ac:dyDescent="0.25">
      <c r="A40" s="19" t="s">
        <v>9927</v>
      </c>
      <c r="B40" s="17" t="s">
        <v>9926</v>
      </c>
      <c r="C40" s="20">
        <v>1</v>
      </c>
      <c r="D40" s="18">
        <v>79.989999999999995</v>
      </c>
      <c r="E40" s="20">
        <v>50038231</v>
      </c>
      <c r="F40" s="17" t="s">
        <v>508</v>
      </c>
      <c r="G40" s="19" t="s">
        <v>116</v>
      </c>
      <c r="H40" s="18">
        <v>26.666666666666668</v>
      </c>
      <c r="I40" s="17" t="s">
        <v>854</v>
      </c>
      <c r="J40" s="17" t="s">
        <v>850</v>
      </c>
      <c r="K40" s="17" t="s">
        <v>389</v>
      </c>
      <c r="L40" s="17" t="s">
        <v>1167</v>
      </c>
      <c r="M40" s="16" t="str">
        <f>HYPERLINK("http://slimages.macys.com/is/image/MCY/12038684 ")</f>
        <v xml:space="preserve">http://slimages.macys.com/is/image/MCY/12038684 </v>
      </c>
      <c r="N40" s="30"/>
    </row>
    <row r="41" spans="1:14" ht="60" x14ac:dyDescent="0.25">
      <c r="A41" s="19" t="s">
        <v>9925</v>
      </c>
      <c r="B41" s="17" t="s">
        <v>9924</v>
      </c>
      <c r="C41" s="20">
        <v>1</v>
      </c>
      <c r="D41" s="18">
        <v>100</v>
      </c>
      <c r="E41" s="20">
        <v>1005</v>
      </c>
      <c r="F41" s="17" t="s">
        <v>535</v>
      </c>
      <c r="G41" s="19" t="s">
        <v>69</v>
      </c>
      <c r="H41" s="18">
        <v>26.666666666666668</v>
      </c>
      <c r="I41" s="17" t="s">
        <v>133</v>
      </c>
      <c r="J41" s="17" t="s">
        <v>1480</v>
      </c>
      <c r="K41" s="17"/>
      <c r="L41" s="17"/>
      <c r="M41" s="16" t="str">
        <f>HYPERLINK("http://slimages.macys.com/is/image/MCY/19009102 ")</f>
        <v xml:space="preserve">http://slimages.macys.com/is/image/MCY/19009102 </v>
      </c>
      <c r="N41" s="30"/>
    </row>
    <row r="42" spans="1:14" ht="60" x14ac:dyDescent="0.25">
      <c r="A42" s="19" t="s">
        <v>9923</v>
      </c>
      <c r="B42" s="17" t="s">
        <v>9922</v>
      </c>
      <c r="C42" s="20">
        <v>1</v>
      </c>
      <c r="D42" s="18">
        <v>148</v>
      </c>
      <c r="E42" s="20" t="s">
        <v>1423</v>
      </c>
      <c r="F42" s="17" t="s">
        <v>23</v>
      </c>
      <c r="G42" s="19" t="s">
        <v>116</v>
      </c>
      <c r="H42" s="18">
        <v>26.64</v>
      </c>
      <c r="I42" s="17" t="s">
        <v>115</v>
      </c>
      <c r="J42" s="17" t="s">
        <v>742</v>
      </c>
      <c r="K42" s="17"/>
      <c r="L42" s="17"/>
      <c r="M42" s="16" t="str">
        <f>HYPERLINK("http://slimages.macys.com/is/image/MCY/19102968 ")</f>
        <v xml:space="preserve">http://slimages.macys.com/is/image/MCY/19102968 </v>
      </c>
      <c r="N42" s="30"/>
    </row>
    <row r="43" spans="1:14" ht="60" x14ac:dyDescent="0.25">
      <c r="A43" s="19" t="s">
        <v>9921</v>
      </c>
      <c r="B43" s="17" t="s">
        <v>9920</v>
      </c>
      <c r="C43" s="20">
        <v>1</v>
      </c>
      <c r="D43" s="18">
        <v>148</v>
      </c>
      <c r="E43" s="20" t="s">
        <v>9919</v>
      </c>
      <c r="F43" s="17" t="s">
        <v>81</v>
      </c>
      <c r="G43" s="19" t="s">
        <v>96</v>
      </c>
      <c r="H43" s="18">
        <v>26.64</v>
      </c>
      <c r="I43" s="17" t="s">
        <v>115</v>
      </c>
      <c r="J43" s="17" t="s">
        <v>742</v>
      </c>
      <c r="K43" s="17"/>
      <c r="L43" s="17"/>
      <c r="M43" s="16" t="str">
        <f>HYPERLINK("http://slimages.macys.com/is/image/MCY/17542013 ")</f>
        <v xml:space="preserve">http://slimages.macys.com/is/image/MCY/17542013 </v>
      </c>
      <c r="N43" s="30"/>
    </row>
    <row r="44" spans="1:14" ht="60" x14ac:dyDescent="0.25">
      <c r="A44" s="19" t="s">
        <v>9918</v>
      </c>
      <c r="B44" s="17" t="s">
        <v>9917</v>
      </c>
      <c r="C44" s="20">
        <v>1</v>
      </c>
      <c r="D44" s="18">
        <v>148</v>
      </c>
      <c r="E44" s="20" t="s">
        <v>9916</v>
      </c>
      <c r="F44" s="17" t="s">
        <v>575</v>
      </c>
      <c r="G44" s="19" t="s">
        <v>749</v>
      </c>
      <c r="H44" s="18">
        <v>26.64</v>
      </c>
      <c r="I44" s="17" t="s">
        <v>115</v>
      </c>
      <c r="J44" s="17" t="s">
        <v>742</v>
      </c>
      <c r="K44" s="17"/>
      <c r="L44" s="17"/>
      <c r="M44" s="16" t="str">
        <f>HYPERLINK("http://slimages.macys.com/is/image/MCY/18829716 ")</f>
        <v xml:space="preserve">http://slimages.macys.com/is/image/MCY/18829716 </v>
      </c>
      <c r="N44" s="30"/>
    </row>
    <row r="45" spans="1:14" ht="96" x14ac:dyDescent="0.25">
      <c r="A45" s="19" t="s">
        <v>9915</v>
      </c>
      <c r="B45" s="17" t="s">
        <v>9914</v>
      </c>
      <c r="C45" s="20">
        <v>1</v>
      </c>
      <c r="D45" s="18">
        <v>109</v>
      </c>
      <c r="E45" s="20" t="s">
        <v>6888</v>
      </c>
      <c r="F45" s="17" t="s">
        <v>51</v>
      </c>
      <c r="G45" s="19" t="s">
        <v>898</v>
      </c>
      <c r="H45" s="18">
        <v>26.6</v>
      </c>
      <c r="I45" s="17" t="s">
        <v>1363</v>
      </c>
      <c r="J45" s="17" t="s">
        <v>1362</v>
      </c>
      <c r="K45" s="17" t="s">
        <v>389</v>
      </c>
      <c r="L45" s="17" t="s">
        <v>4024</v>
      </c>
      <c r="M45" s="16" t="str">
        <f>HYPERLINK("http://slimages.macys.com/is/image/MCY/9816306 ")</f>
        <v xml:space="preserve">http://slimages.macys.com/is/image/MCY/9816306 </v>
      </c>
      <c r="N45" s="30"/>
    </row>
    <row r="46" spans="1:14" ht="96" x14ac:dyDescent="0.25">
      <c r="A46" s="19" t="s">
        <v>9913</v>
      </c>
      <c r="B46" s="17" t="s">
        <v>9912</v>
      </c>
      <c r="C46" s="20">
        <v>1</v>
      </c>
      <c r="D46" s="18">
        <v>109</v>
      </c>
      <c r="E46" s="20" t="s">
        <v>4025</v>
      </c>
      <c r="F46" s="17" t="s">
        <v>51</v>
      </c>
      <c r="G46" s="19" t="s">
        <v>658</v>
      </c>
      <c r="H46" s="18">
        <v>26.6</v>
      </c>
      <c r="I46" s="17" t="s">
        <v>1363</v>
      </c>
      <c r="J46" s="17" t="s">
        <v>1362</v>
      </c>
      <c r="K46" s="17" t="s">
        <v>389</v>
      </c>
      <c r="L46" s="17" t="s">
        <v>4024</v>
      </c>
      <c r="M46" s="16" t="str">
        <f>HYPERLINK("http://slimages.macys.com/is/image/MCY/12790861 ")</f>
        <v xml:space="preserve">http://slimages.macys.com/is/image/MCY/12790861 </v>
      </c>
      <c r="N46" s="30"/>
    </row>
    <row r="47" spans="1:14" ht="60" x14ac:dyDescent="0.25">
      <c r="A47" s="19" t="s">
        <v>9911</v>
      </c>
      <c r="B47" s="17" t="s">
        <v>9910</v>
      </c>
      <c r="C47" s="20">
        <v>1</v>
      </c>
      <c r="D47" s="18">
        <v>104.25</v>
      </c>
      <c r="E47" s="20">
        <v>10772830</v>
      </c>
      <c r="F47" s="17" t="s">
        <v>544</v>
      </c>
      <c r="G47" s="19" t="s">
        <v>139</v>
      </c>
      <c r="H47" s="18">
        <v>26.413333333333334</v>
      </c>
      <c r="I47" s="17" t="s">
        <v>358</v>
      </c>
      <c r="J47" s="17" t="s">
        <v>143</v>
      </c>
      <c r="K47" s="17"/>
      <c r="L47" s="17"/>
      <c r="M47" s="16" t="str">
        <f>HYPERLINK("http://slimages.macys.com/is/image/MCY/17750075 ")</f>
        <v xml:space="preserve">http://slimages.macys.com/is/image/MCY/17750075 </v>
      </c>
      <c r="N47" s="30"/>
    </row>
    <row r="48" spans="1:14" ht="60" x14ac:dyDescent="0.25">
      <c r="A48" s="19" t="s">
        <v>9909</v>
      </c>
      <c r="B48" s="17" t="s">
        <v>9908</v>
      </c>
      <c r="C48" s="20">
        <v>1</v>
      </c>
      <c r="D48" s="18">
        <v>104.25</v>
      </c>
      <c r="E48" s="20">
        <v>10772830</v>
      </c>
      <c r="F48" s="17" t="s">
        <v>544</v>
      </c>
      <c r="G48" s="19" t="s">
        <v>351</v>
      </c>
      <c r="H48" s="18">
        <v>26.413333333333334</v>
      </c>
      <c r="I48" s="17" t="s">
        <v>358</v>
      </c>
      <c r="J48" s="17" t="s">
        <v>143</v>
      </c>
      <c r="K48" s="17"/>
      <c r="L48" s="17"/>
      <c r="M48" s="16" t="str">
        <f>HYPERLINK("http://slimages.macys.com/is/image/MCY/17750075 ")</f>
        <v xml:space="preserve">http://slimages.macys.com/is/image/MCY/17750075 </v>
      </c>
      <c r="N48" s="30"/>
    </row>
    <row r="49" spans="1:14" ht="60" x14ac:dyDescent="0.25">
      <c r="A49" s="19" t="s">
        <v>8810</v>
      </c>
      <c r="B49" s="17" t="s">
        <v>8809</v>
      </c>
      <c r="C49" s="20">
        <v>1</v>
      </c>
      <c r="D49" s="18">
        <v>104.25</v>
      </c>
      <c r="E49" s="20">
        <v>10772830</v>
      </c>
      <c r="F49" s="17" t="s">
        <v>544</v>
      </c>
      <c r="G49" s="19" t="s">
        <v>271</v>
      </c>
      <c r="H49" s="18">
        <v>26.413333333333334</v>
      </c>
      <c r="I49" s="17" t="s">
        <v>358</v>
      </c>
      <c r="J49" s="17" t="s">
        <v>143</v>
      </c>
      <c r="K49" s="17"/>
      <c r="L49" s="17"/>
      <c r="M49" s="16" t="str">
        <f>HYPERLINK("http://slimages.macys.com/is/image/MCY/17750075 ")</f>
        <v xml:space="preserve">http://slimages.macys.com/is/image/MCY/17750075 </v>
      </c>
      <c r="N49" s="30"/>
    </row>
    <row r="50" spans="1:14" ht="60" x14ac:dyDescent="0.25">
      <c r="A50" s="19" t="s">
        <v>2959</v>
      </c>
      <c r="B50" s="17" t="s">
        <v>2958</v>
      </c>
      <c r="C50" s="20">
        <v>1</v>
      </c>
      <c r="D50" s="18">
        <v>104.25</v>
      </c>
      <c r="E50" s="20" t="s">
        <v>2957</v>
      </c>
      <c r="F50" s="17" t="s">
        <v>51</v>
      </c>
      <c r="G50" s="19"/>
      <c r="H50" s="18">
        <v>26.233333333333334</v>
      </c>
      <c r="I50" s="17" t="s">
        <v>33</v>
      </c>
      <c r="J50" s="17" t="s">
        <v>32</v>
      </c>
      <c r="K50" s="17"/>
      <c r="L50" s="17"/>
      <c r="M50" s="16" t="str">
        <f>HYPERLINK("http://slimages.macys.com/is/image/MCY/19321049 ")</f>
        <v xml:space="preserve">http://slimages.macys.com/is/image/MCY/19321049 </v>
      </c>
      <c r="N50" s="30"/>
    </row>
    <row r="51" spans="1:14" ht="60" x14ac:dyDescent="0.25">
      <c r="A51" s="19" t="s">
        <v>4727</v>
      </c>
      <c r="B51" s="17" t="s">
        <v>4726</v>
      </c>
      <c r="C51" s="20">
        <v>1</v>
      </c>
      <c r="D51" s="18">
        <v>104.25</v>
      </c>
      <c r="E51" s="20" t="s">
        <v>2957</v>
      </c>
      <c r="F51" s="17" t="s">
        <v>51</v>
      </c>
      <c r="G51" s="19"/>
      <c r="H51" s="18">
        <v>26.233333333333334</v>
      </c>
      <c r="I51" s="17" t="s">
        <v>33</v>
      </c>
      <c r="J51" s="17" t="s">
        <v>32</v>
      </c>
      <c r="K51" s="17"/>
      <c r="L51" s="17"/>
      <c r="M51" s="16" t="str">
        <f>HYPERLINK("http://slimages.macys.com/is/image/MCY/19321049 ")</f>
        <v xml:space="preserve">http://slimages.macys.com/is/image/MCY/19321049 </v>
      </c>
      <c r="N51" s="30"/>
    </row>
    <row r="52" spans="1:14" ht="60" x14ac:dyDescent="0.25">
      <c r="A52" s="19" t="s">
        <v>9907</v>
      </c>
      <c r="B52" s="17" t="s">
        <v>9906</v>
      </c>
      <c r="C52" s="20">
        <v>1</v>
      </c>
      <c r="D52" s="18">
        <v>98</v>
      </c>
      <c r="E52" s="20" t="s">
        <v>7720</v>
      </c>
      <c r="F52" s="17" t="s">
        <v>97</v>
      </c>
      <c r="G52" s="19"/>
      <c r="H52" s="18">
        <v>26.133333333333333</v>
      </c>
      <c r="I52" s="17" t="s">
        <v>148</v>
      </c>
      <c r="J52" s="17" t="s">
        <v>2093</v>
      </c>
      <c r="K52" s="17"/>
      <c r="L52" s="17"/>
      <c r="M52" s="16" t="str">
        <f>HYPERLINK("http://slimages.macys.com/is/image/MCY/19146878 ")</f>
        <v xml:space="preserve">http://slimages.macys.com/is/image/MCY/19146878 </v>
      </c>
      <c r="N52" s="30"/>
    </row>
    <row r="53" spans="1:14" ht="96" x14ac:dyDescent="0.25">
      <c r="A53" s="19" t="s">
        <v>9905</v>
      </c>
      <c r="B53" s="17" t="s">
        <v>9904</v>
      </c>
      <c r="C53" s="20">
        <v>1</v>
      </c>
      <c r="D53" s="18">
        <v>104.25</v>
      </c>
      <c r="E53" s="20" t="s">
        <v>2954</v>
      </c>
      <c r="F53" s="17" t="s">
        <v>51</v>
      </c>
      <c r="G53" s="19"/>
      <c r="H53" s="18">
        <v>26.06</v>
      </c>
      <c r="I53" s="17" t="s">
        <v>358</v>
      </c>
      <c r="J53" s="17" t="s">
        <v>32</v>
      </c>
      <c r="K53" s="17" t="s">
        <v>389</v>
      </c>
      <c r="L53" s="17" t="s">
        <v>2953</v>
      </c>
      <c r="M53" s="16" t="str">
        <f>HYPERLINK("http://slimages.macys.com/is/image/MCY/3604776 ")</f>
        <v xml:space="preserve">http://slimages.macys.com/is/image/MCY/3604776 </v>
      </c>
      <c r="N53" s="30"/>
    </row>
    <row r="54" spans="1:14" ht="60" x14ac:dyDescent="0.25">
      <c r="A54" s="19" t="s">
        <v>9903</v>
      </c>
      <c r="B54" s="17" t="s">
        <v>9902</v>
      </c>
      <c r="C54" s="20">
        <v>1</v>
      </c>
      <c r="D54" s="18">
        <v>118</v>
      </c>
      <c r="E54" s="20" t="s">
        <v>4016</v>
      </c>
      <c r="F54" s="17" t="s">
        <v>390</v>
      </c>
      <c r="G54" s="19" t="s">
        <v>22</v>
      </c>
      <c r="H54" s="18">
        <v>26.040000000000003</v>
      </c>
      <c r="I54" s="17" t="s">
        <v>49</v>
      </c>
      <c r="J54" s="17" t="s">
        <v>48</v>
      </c>
      <c r="K54" s="17"/>
      <c r="L54" s="17"/>
      <c r="M54" s="16" t="str">
        <f>HYPERLINK("http://slimages.macys.com/is/image/MCY/18901832 ")</f>
        <v xml:space="preserve">http://slimages.macys.com/is/image/MCY/18901832 </v>
      </c>
      <c r="N54" s="30"/>
    </row>
    <row r="55" spans="1:14" ht="84" x14ac:dyDescent="0.25">
      <c r="A55" s="19" t="s">
        <v>9901</v>
      </c>
      <c r="B55" s="17" t="s">
        <v>9900</v>
      </c>
      <c r="C55" s="20">
        <v>1</v>
      </c>
      <c r="D55" s="18">
        <v>88</v>
      </c>
      <c r="E55" s="20" t="s">
        <v>9899</v>
      </c>
      <c r="F55" s="17" t="s">
        <v>575</v>
      </c>
      <c r="G55" s="19"/>
      <c r="H55" s="18">
        <v>26</v>
      </c>
      <c r="I55" s="17" t="s">
        <v>148</v>
      </c>
      <c r="J55" s="17" t="s">
        <v>8621</v>
      </c>
      <c r="K55" s="17" t="s">
        <v>389</v>
      </c>
      <c r="L55" s="17" t="s">
        <v>9898</v>
      </c>
      <c r="M55" s="16" t="str">
        <f>HYPERLINK("http://slimages.macys.com/is/image/MCY/10085059 ")</f>
        <v xml:space="preserve">http://slimages.macys.com/is/image/MCY/10085059 </v>
      </c>
      <c r="N55" s="30"/>
    </row>
    <row r="56" spans="1:14" ht="60" x14ac:dyDescent="0.25">
      <c r="A56" s="19" t="s">
        <v>9897</v>
      </c>
      <c r="B56" s="17" t="s">
        <v>9896</v>
      </c>
      <c r="C56" s="20">
        <v>1</v>
      </c>
      <c r="D56" s="18">
        <v>139.5</v>
      </c>
      <c r="E56" s="20" t="s">
        <v>7971</v>
      </c>
      <c r="F56" s="17" t="s">
        <v>206</v>
      </c>
      <c r="G56" s="19" t="s">
        <v>271</v>
      </c>
      <c r="H56" s="18">
        <v>25.573333333333334</v>
      </c>
      <c r="I56" s="17" t="s">
        <v>267</v>
      </c>
      <c r="J56" s="17" t="s">
        <v>32</v>
      </c>
      <c r="K56" s="17"/>
      <c r="L56" s="17"/>
      <c r="M56" s="16" t="str">
        <f>HYPERLINK("http://slimages.macys.com/is/image/MCY/18064067 ")</f>
        <v xml:space="preserve">http://slimages.macys.com/is/image/MCY/18064067 </v>
      </c>
      <c r="N56" s="30"/>
    </row>
    <row r="57" spans="1:14" ht="60" x14ac:dyDescent="0.25">
      <c r="A57" s="19" t="s">
        <v>9895</v>
      </c>
      <c r="B57" s="17" t="s">
        <v>9894</v>
      </c>
      <c r="C57" s="20">
        <v>1</v>
      </c>
      <c r="D57" s="18">
        <v>90.3</v>
      </c>
      <c r="E57" s="20" t="s">
        <v>4004</v>
      </c>
      <c r="F57" s="17" t="s">
        <v>23</v>
      </c>
      <c r="G57" s="19"/>
      <c r="H57" s="18">
        <v>25.38</v>
      </c>
      <c r="I57" s="17" t="s">
        <v>42</v>
      </c>
      <c r="J57" s="17" t="s">
        <v>41</v>
      </c>
      <c r="K57" s="17"/>
      <c r="L57" s="17"/>
      <c r="M57" s="16" t="str">
        <f>HYPERLINK("http://slimages.macys.com/is/image/MCY/18549074 ")</f>
        <v xml:space="preserve">http://slimages.macys.com/is/image/MCY/18549074 </v>
      </c>
      <c r="N57" s="30"/>
    </row>
    <row r="58" spans="1:14" ht="60" x14ac:dyDescent="0.25">
      <c r="A58" s="19" t="s">
        <v>6034</v>
      </c>
      <c r="B58" s="17" t="s">
        <v>6033</v>
      </c>
      <c r="C58" s="20">
        <v>1</v>
      </c>
      <c r="D58" s="18">
        <v>89.99</v>
      </c>
      <c r="E58" s="20" t="s">
        <v>2153</v>
      </c>
      <c r="F58" s="17" t="s">
        <v>58</v>
      </c>
      <c r="G58" s="19" t="s">
        <v>419</v>
      </c>
      <c r="H58" s="18">
        <v>25.38</v>
      </c>
      <c r="I58" s="17" t="s">
        <v>42</v>
      </c>
      <c r="J58" s="17" t="s">
        <v>41</v>
      </c>
      <c r="K58" s="17"/>
      <c r="L58" s="17"/>
      <c r="M58" s="16" t="str">
        <f>HYPERLINK("http://slimages.macys.com/is/image/MCY/16374379 ")</f>
        <v xml:space="preserve">http://slimages.macys.com/is/image/MCY/16374379 </v>
      </c>
      <c r="N58" s="30"/>
    </row>
    <row r="59" spans="1:14" ht="60" x14ac:dyDescent="0.25">
      <c r="A59" s="19" t="s">
        <v>9893</v>
      </c>
      <c r="B59" s="17" t="s">
        <v>9892</v>
      </c>
      <c r="C59" s="20">
        <v>1</v>
      </c>
      <c r="D59" s="18">
        <v>129</v>
      </c>
      <c r="E59" s="20">
        <v>10769862</v>
      </c>
      <c r="F59" s="17" t="s">
        <v>508</v>
      </c>
      <c r="G59" s="19" t="s">
        <v>271</v>
      </c>
      <c r="H59" s="18">
        <v>24.94</v>
      </c>
      <c r="I59" s="17" t="s">
        <v>1307</v>
      </c>
      <c r="J59" s="17" t="s">
        <v>1306</v>
      </c>
      <c r="K59" s="17"/>
      <c r="L59" s="17"/>
      <c r="M59" s="16" t="str">
        <f>HYPERLINK("http://slimages.macys.com/is/image/MCY/18701535 ")</f>
        <v xml:space="preserve">http://slimages.macys.com/is/image/MCY/18701535 </v>
      </c>
      <c r="N59" s="30"/>
    </row>
    <row r="60" spans="1:14" ht="60" x14ac:dyDescent="0.25">
      <c r="A60" s="19" t="s">
        <v>9891</v>
      </c>
      <c r="B60" s="17" t="s">
        <v>9890</v>
      </c>
      <c r="C60" s="20">
        <v>1</v>
      </c>
      <c r="D60" s="18">
        <v>138</v>
      </c>
      <c r="E60" s="20" t="s">
        <v>9889</v>
      </c>
      <c r="F60" s="17" t="s">
        <v>282</v>
      </c>
      <c r="G60" s="19" t="s">
        <v>96</v>
      </c>
      <c r="H60" s="18">
        <v>24.84</v>
      </c>
      <c r="I60" s="17" t="s">
        <v>115</v>
      </c>
      <c r="J60" s="17" t="s">
        <v>742</v>
      </c>
      <c r="K60" s="17"/>
      <c r="L60" s="17"/>
      <c r="M60" s="16" t="str">
        <f>HYPERLINK("http://slimages.macys.com/is/image/MCY/18783773 ")</f>
        <v xml:space="preserve">http://slimages.macys.com/is/image/MCY/18783773 </v>
      </c>
      <c r="N60" s="30"/>
    </row>
    <row r="61" spans="1:14" ht="60" x14ac:dyDescent="0.25">
      <c r="A61" s="19" t="s">
        <v>9888</v>
      </c>
      <c r="B61" s="17" t="s">
        <v>9887</v>
      </c>
      <c r="C61" s="20">
        <v>1</v>
      </c>
      <c r="D61" s="18">
        <v>80</v>
      </c>
      <c r="E61" s="20" t="s">
        <v>4705</v>
      </c>
      <c r="F61" s="17" t="s">
        <v>198</v>
      </c>
      <c r="G61" s="19" t="s">
        <v>857</v>
      </c>
      <c r="H61" s="18">
        <v>24.666666666666668</v>
      </c>
      <c r="I61" s="17" t="s">
        <v>481</v>
      </c>
      <c r="J61" s="17" t="s">
        <v>1500</v>
      </c>
      <c r="K61" s="17"/>
      <c r="L61" s="17"/>
      <c r="M61" s="16" t="str">
        <f>HYPERLINK("http://slimages.macys.com/is/image/MCY/19109138 ")</f>
        <v xml:space="preserve">http://slimages.macys.com/is/image/MCY/19109138 </v>
      </c>
      <c r="N61" s="30"/>
    </row>
    <row r="62" spans="1:14" ht="60" x14ac:dyDescent="0.25">
      <c r="A62" s="19" t="s">
        <v>1407</v>
      </c>
      <c r="B62" s="17" t="s">
        <v>1406</v>
      </c>
      <c r="C62" s="20">
        <v>1</v>
      </c>
      <c r="D62" s="18">
        <v>119</v>
      </c>
      <c r="E62" s="20">
        <v>10773860</v>
      </c>
      <c r="F62" s="17" t="s">
        <v>51</v>
      </c>
      <c r="G62" s="19" t="s">
        <v>69</v>
      </c>
      <c r="H62" s="18">
        <v>24.593333333333334</v>
      </c>
      <c r="I62" s="17" t="s">
        <v>144</v>
      </c>
      <c r="J62" s="17" t="s">
        <v>143</v>
      </c>
      <c r="K62" s="17"/>
      <c r="L62" s="17"/>
      <c r="M62" s="16" t="str">
        <f>HYPERLINK("http://slimages.macys.com/is/image/MCY/18601192 ")</f>
        <v xml:space="preserve">http://slimages.macys.com/is/image/MCY/18601192 </v>
      </c>
      <c r="N62" s="30"/>
    </row>
    <row r="63" spans="1:14" ht="60" x14ac:dyDescent="0.25">
      <c r="A63" s="19" t="s">
        <v>6853</v>
      </c>
      <c r="B63" s="17" t="s">
        <v>6852</v>
      </c>
      <c r="C63" s="20">
        <v>1</v>
      </c>
      <c r="D63" s="18">
        <v>119</v>
      </c>
      <c r="E63" s="20">
        <v>10758368</v>
      </c>
      <c r="F63" s="17" t="s">
        <v>23</v>
      </c>
      <c r="G63" s="19" t="s">
        <v>658</v>
      </c>
      <c r="H63" s="18">
        <v>24.593333333333334</v>
      </c>
      <c r="I63" s="17" t="s">
        <v>144</v>
      </c>
      <c r="J63" s="17" t="s">
        <v>143</v>
      </c>
      <c r="K63" s="17"/>
      <c r="L63" s="17"/>
      <c r="M63" s="16" t="str">
        <f>HYPERLINK("http://slimages.macys.com/is/image/MCY/18301568 ")</f>
        <v xml:space="preserve">http://slimages.macys.com/is/image/MCY/18301568 </v>
      </c>
      <c r="N63" s="30"/>
    </row>
    <row r="64" spans="1:14" ht="60" x14ac:dyDescent="0.25">
      <c r="A64" s="19" t="s">
        <v>9886</v>
      </c>
      <c r="B64" s="17" t="s">
        <v>9885</v>
      </c>
      <c r="C64" s="20">
        <v>1</v>
      </c>
      <c r="D64" s="18">
        <v>79</v>
      </c>
      <c r="E64" s="20" t="s">
        <v>9884</v>
      </c>
      <c r="F64" s="17" t="s">
        <v>149</v>
      </c>
      <c r="G64" s="19" t="s">
        <v>857</v>
      </c>
      <c r="H64" s="18">
        <v>24</v>
      </c>
      <c r="I64" s="17" t="s">
        <v>148</v>
      </c>
      <c r="J64" s="17" t="s">
        <v>772</v>
      </c>
      <c r="K64" s="17"/>
      <c r="L64" s="17"/>
      <c r="M64" s="16" t="str">
        <f>HYPERLINK("http://slimages.macys.com/is/image/MCY/19074879 ")</f>
        <v xml:space="preserve">http://slimages.macys.com/is/image/MCY/19074879 </v>
      </c>
      <c r="N64" s="30"/>
    </row>
    <row r="65" spans="1:14" ht="60" x14ac:dyDescent="0.25">
      <c r="A65" s="19" t="s">
        <v>9883</v>
      </c>
      <c r="B65" s="17" t="s">
        <v>9882</v>
      </c>
      <c r="C65" s="20">
        <v>1</v>
      </c>
      <c r="D65" s="18">
        <v>108</v>
      </c>
      <c r="E65" s="20" t="s">
        <v>8767</v>
      </c>
      <c r="F65" s="17" t="s">
        <v>282</v>
      </c>
      <c r="G65" s="19" t="s">
        <v>62</v>
      </c>
      <c r="H65" s="18">
        <v>23.833333333333336</v>
      </c>
      <c r="I65" s="17" t="s">
        <v>49</v>
      </c>
      <c r="J65" s="17" t="s">
        <v>48</v>
      </c>
      <c r="K65" s="17"/>
      <c r="L65" s="17"/>
      <c r="M65" s="16" t="str">
        <f>HYPERLINK("http://slimages.macys.com/is/image/MCY/19349067 ")</f>
        <v xml:space="preserve">http://slimages.macys.com/is/image/MCY/19349067 </v>
      </c>
      <c r="N65" s="30"/>
    </row>
    <row r="66" spans="1:14" ht="60" x14ac:dyDescent="0.25">
      <c r="A66" s="19" t="s">
        <v>9881</v>
      </c>
      <c r="B66" s="17" t="s">
        <v>9880</v>
      </c>
      <c r="C66" s="20">
        <v>1</v>
      </c>
      <c r="D66" s="18">
        <v>129</v>
      </c>
      <c r="E66" s="20" t="s">
        <v>6012</v>
      </c>
      <c r="F66" s="17" t="s">
        <v>58</v>
      </c>
      <c r="G66" s="19" t="s">
        <v>69</v>
      </c>
      <c r="H66" s="18">
        <v>23.82</v>
      </c>
      <c r="I66" s="17" t="s">
        <v>405</v>
      </c>
      <c r="J66" s="17" t="s">
        <v>404</v>
      </c>
      <c r="K66" s="17" t="s">
        <v>637</v>
      </c>
      <c r="L66" s="17" t="s">
        <v>6011</v>
      </c>
      <c r="M66" s="16" t="str">
        <f>HYPERLINK("http://images.bloomingdales.com/is/image/BLM/11592957 ")</f>
        <v xml:space="preserve">http://images.bloomingdales.com/is/image/BLM/11592957 </v>
      </c>
      <c r="N66" s="30"/>
    </row>
    <row r="67" spans="1:14" ht="60" x14ac:dyDescent="0.25">
      <c r="A67" s="19" t="s">
        <v>9879</v>
      </c>
      <c r="B67" s="17" t="s">
        <v>9878</v>
      </c>
      <c r="C67" s="20">
        <v>1</v>
      </c>
      <c r="D67" s="18">
        <v>90.3</v>
      </c>
      <c r="E67" s="20" t="s">
        <v>9875</v>
      </c>
      <c r="F67" s="17" t="s">
        <v>390</v>
      </c>
      <c r="G67" s="19" t="s">
        <v>74</v>
      </c>
      <c r="H67" s="18">
        <v>23.553333333333335</v>
      </c>
      <c r="I67" s="17" t="s">
        <v>42</v>
      </c>
      <c r="J67" s="17" t="s">
        <v>41</v>
      </c>
      <c r="K67" s="17"/>
      <c r="L67" s="17"/>
      <c r="M67" s="16" t="str">
        <f>HYPERLINK("http://slimages.macys.com/is/image/MCY/19187563 ")</f>
        <v xml:space="preserve">http://slimages.macys.com/is/image/MCY/19187563 </v>
      </c>
      <c r="N67" s="30"/>
    </row>
    <row r="68" spans="1:14" ht="60" x14ac:dyDescent="0.25">
      <c r="A68" s="19" t="s">
        <v>9877</v>
      </c>
      <c r="B68" s="17" t="s">
        <v>9876</v>
      </c>
      <c r="C68" s="20">
        <v>1</v>
      </c>
      <c r="D68" s="18">
        <v>90.3</v>
      </c>
      <c r="E68" s="20" t="s">
        <v>9875</v>
      </c>
      <c r="F68" s="17" t="s">
        <v>390</v>
      </c>
      <c r="G68" s="19" t="s">
        <v>62</v>
      </c>
      <c r="H68" s="18">
        <v>23.553333333333335</v>
      </c>
      <c r="I68" s="17" t="s">
        <v>42</v>
      </c>
      <c r="J68" s="17" t="s">
        <v>41</v>
      </c>
      <c r="K68" s="17"/>
      <c r="L68" s="17"/>
      <c r="M68" s="16" t="str">
        <f>HYPERLINK("http://slimages.macys.com/is/image/MCY/19187563 ")</f>
        <v xml:space="preserve">http://slimages.macys.com/is/image/MCY/19187563 </v>
      </c>
      <c r="N68" s="30"/>
    </row>
    <row r="69" spans="1:14" ht="60" x14ac:dyDescent="0.25">
      <c r="A69" s="19" t="s">
        <v>9874</v>
      </c>
      <c r="B69" s="17" t="s">
        <v>9873</v>
      </c>
      <c r="C69" s="20">
        <v>1</v>
      </c>
      <c r="D69" s="18">
        <v>139</v>
      </c>
      <c r="E69" s="20" t="s">
        <v>9872</v>
      </c>
      <c r="F69" s="17" t="s">
        <v>28</v>
      </c>
      <c r="G69" s="19" t="s">
        <v>658</v>
      </c>
      <c r="H69" s="18">
        <v>23.166666666666668</v>
      </c>
      <c r="I69" s="17" t="s">
        <v>820</v>
      </c>
      <c r="J69" s="17" t="s">
        <v>67</v>
      </c>
      <c r="K69" s="17"/>
      <c r="L69" s="17"/>
      <c r="M69" s="16" t="str">
        <f>HYPERLINK("http://slimages.macys.com/is/image/MCY/17708417 ")</f>
        <v xml:space="preserve">http://slimages.macys.com/is/image/MCY/17708417 </v>
      </c>
      <c r="N69" s="30"/>
    </row>
    <row r="70" spans="1:14" ht="60" x14ac:dyDescent="0.25">
      <c r="A70" s="19" t="s">
        <v>9871</v>
      </c>
      <c r="B70" s="17" t="s">
        <v>9870</v>
      </c>
      <c r="C70" s="20">
        <v>1</v>
      </c>
      <c r="D70" s="18">
        <v>139</v>
      </c>
      <c r="E70" s="20">
        <v>10771022</v>
      </c>
      <c r="F70" s="17" t="s">
        <v>575</v>
      </c>
      <c r="G70" s="19" t="s">
        <v>139</v>
      </c>
      <c r="H70" s="18">
        <v>23.166666666666668</v>
      </c>
      <c r="I70" s="17" t="s">
        <v>1307</v>
      </c>
      <c r="J70" s="17" t="s">
        <v>1306</v>
      </c>
      <c r="K70" s="17"/>
      <c r="L70" s="17"/>
      <c r="M70" s="16" t="str">
        <f>HYPERLINK("http://slimages.macys.com/is/image/MCY/18972921 ")</f>
        <v xml:space="preserve">http://slimages.macys.com/is/image/MCY/18972921 </v>
      </c>
      <c r="N70" s="30"/>
    </row>
    <row r="71" spans="1:14" ht="60" x14ac:dyDescent="0.25">
      <c r="A71" s="19" t="s">
        <v>9869</v>
      </c>
      <c r="B71" s="17" t="s">
        <v>9868</v>
      </c>
      <c r="C71" s="20">
        <v>1</v>
      </c>
      <c r="D71" s="18">
        <v>108</v>
      </c>
      <c r="E71" s="20" t="s">
        <v>9867</v>
      </c>
      <c r="F71" s="17" t="s">
        <v>216</v>
      </c>
      <c r="G71" s="19"/>
      <c r="H71" s="18">
        <v>23.053333333333335</v>
      </c>
      <c r="I71" s="17" t="s">
        <v>49</v>
      </c>
      <c r="J71" s="17" t="s">
        <v>48</v>
      </c>
      <c r="K71" s="17"/>
      <c r="L71" s="17"/>
      <c r="M71" s="16" t="str">
        <f>HYPERLINK("http://slimages.macys.com/is/image/MCY/18264607 ")</f>
        <v xml:space="preserve">http://slimages.macys.com/is/image/MCY/18264607 </v>
      </c>
      <c r="N71" s="30"/>
    </row>
    <row r="72" spans="1:14" ht="60" x14ac:dyDescent="0.25">
      <c r="A72" s="19" t="s">
        <v>5251</v>
      </c>
      <c r="B72" s="17" t="s">
        <v>5250</v>
      </c>
      <c r="C72" s="20">
        <v>1</v>
      </c>
      <c r="D72" s="18">
        <v>119</v>
      </c>
      <c r="E72" s="20">
        <v>10770632</v>
      </c>
      <c r="F72" s="17" t="s">
        <v>23</v>
      </c>
      <c r="G72" s="19" t="s">
        <v>197</v>
      </c>
      <c r="H72" s="18">
        <v>23.006666666666668</v>
      </c>
      <c r="I72" s="17" t="s">
        <v>144</v>
      </c>
      <c r="J72" s="17" t="s">
        <v>143</v>
      </c>
      <c r="K72" s="17"/>
      <c r="L72" s="17"/>
      <c r="M72" s="16" t="str">
        <f>HYPERLINK("http://slimages.macys.com/is/image/MCY/19095865 ")</f>
        <v xml:space="preserve">http://slimages.macys.com/is/image/MCY/19095865 </v>
      </c>
      <c r="N72" s="30"/>
    </row>
    <row r="73" spans="1:14" ht="60" x14ac:dyDescent="0.25">
      <c r="A73" s="19" t="s">
        <v>9866</v>
      </c>
      <c r="B73" s="17" t="s">
        <v>9865</v>
      </c>
      <c r="C73" s="20">
        <v>1</v>
      </c>
      <c r="D73" s="18">
        <v>81.75</v>
      </c>
      <c r="E73" s="20">
        <v>10769454</v>
      </c>
      <c r="F73" s="17" t="s">
        <v>28</v>
      </c>
      <c r="G73" s="19" t="s">
        <v>351</v>
      </c>
      <c r="H73" s="18">
        <v>22.893333333333334</v>
      </c>
      <c r="I73" s="17" t="s">
        <v>358</v>
      </c>
      <c r="J73" s="17" t="s">
        <v>143</v>
      </c>
      <c r="K73" s="17"/>
      <c r="L73" s="17"/>
      <c r="M73" s="16" t="str">
        <f>HYPERLINK("http://slimages.macys.com/is/image/MCY/18600995 ")</f>
        <v xml:space="preserve">http://slimages.macys.com/is/image/MCY/18600995 </v>
      </c>
      <c r="N73" s="30"/>
    </row>
    <row r="74" spans="1:14" ht="60" x14ac:dyDescent="0.25">
      <c r="A74" s="19" t="s">
        <v>9864</v>
      </c>
      <c r="B74" s="17" t="s">
        <v>9863</v>
      </c>
      <c r="C74" s="20">
        <v>1</v>
      </c>
      <c r="D74" s="18">
        <v>119</v>
      </c>
      <c r="E74" s="20">
        <v>10795676</v>
      </c>
      <c r="F74" s="17" t="s">
        <v>63</v>
      </c>
      <c r="G74" s="19" t="s">
        <v>69</v>
      </c>
      <c r="H74" s="18">
        <v>22.213333333333335</v>
      </c>
      <c r="I74" s="17" t="s">
        <v>120</v>
      </c>
      <c r="J74" s="17" t="s">
        <v>119</v>
      </c>
      <c r="K74" s="17"/>
      <c r="L74" s="17"/>
      <c r="M74" s="16" t="str">
        <f>HYPERLINK("http://slimages.macys.com/is/image/MCY/18089614 ")</f>
        <v xml:space="preserve">http://slimages.macys.com/is/image/MCY/18089614 </v>
      </c>
      <c r="N74" s="30"/>
    </row>
    <row r="75" spans="1:14" ht="96" x14ac:dyDescent="0.25">
      <c r="A75" s="19" t="s">
        <v>9862</v>
      </c>
      <c r="B75" s="17" t="s">
        <v>9861</v>
      </c>
      <c r="C75" s="20">
        <v>1</v>
      </c>
      <c r="D75" s="18">
        <v>79</v>
      </c>
      <c r="E75" s="20">
        <v>10695504</v>
      </c>
      <c r="F75" s="17" t="s">
        <v>51</v>
      </c>
      <c r="G75" s="19" t="s">
        <v>1445</v>
      </c>
      <c r="H75" s="18">
        <v>22.12</v>
      </c>
      <c r="I75" s="17" t="s">
        <v>358</v>
      </c>
      <c r="J75" s="17" t="s">
        <v>143</v>
      </c>
      <c r="K75" s="17" t="s">
        <v>389</v>
      </c>
      <c r="L75" s="17" t="s">
        <v>3972</v>
      </c>
      <c r="M75" s="16" t="str">
        <f>HYPERLINK("http://slimages.macys.com/is/image/MCY/9988589 ")</f>
        <v xml:space="preserve">http://slimages.macys.com/is/image/MCY/9988589 </v>
      </c>
      <c r="N75" s="30"/>
    </row>
    <row r="76" spans="1:14" ht="96" x14ac:dyDescent="0.25">
      <c r="A76" s="19" t="s">
        <v>9860</v>
      </c>
      <c r="B76" s="17" t="s">
        <v>3735</v>
      </c>
      <c r="C76" s="20">
        <v>1</v>
      </c>
      <c r="D76" s="18">
        <v>79</v>
      </c>
      <c r="E76" s="20">
        <v>10695504</v>
      </c>
      <c r="F76" s="17" t="s">
        <v>51</v>
      </c>
      <c r="G76" s="19" t="s">
        <v>916</v>
      </c>
      <c r="H76" s="18">
        <v>22.12</v>
      </c>
      <c r="I76" s="17" t="s">
        <v>358</v>
      </c>
      <c r="J76" s="17" t="s">
        <v>143</v>
      </c>
      <c r="K76" s="17" t="s">
        <v>389</v>
      </c>
      <c r="L76" s="17" t="s">
        <v>3972</v>
      </c>
      <c r="M76" s="16" t="str">
        <f>HYPERLINK("http://slimages.macys.com/is/image/MCY/9988589 ")</f>
        <v xml:space="preserve">http://slimages.macys.com/is/image/MCY/9988589 </v>
      </c>
      <c r="N76" s="30"/>
    </row>
    <row r="77" spans="1:14" ht="96" x14ac:dyDescent="0.25">
      <c r="A77" s="19" t="s">
        <v>9859</v>
      </c>
      <c r="B77" s="17" t="s">
        <v>9858</v>
      </c>
      <c r="C77" s="20">
        <v>1</v>
      </c>
      <c r="D77" s="18">
        <v>79</v>
      </c>
      <c r="E77" s="20">
        <v>10695504</v>
      </c>
      <c r="F77" s="17" t="s">
        <v>51</v>
      </c>
      <c r="G77" s="19" t="s">
        <v>1292</v>
      </c>
      <c r="H77" s="18">
        <v>22.12</v>
      </c>
      <c r="I77" s="17" t="s">
        <v>358</v>
      </c>
      <c r="J77" s="17" t="s">
        <v>143</v>
      </c>
      <c r="K77" s="17" t="s">
        <v>389</v>
      </c>
      <c r="L77" s="17" t="s">
        <v>3972</v>
      </c>
      <c r="M77" s="16" t="str">
        <f>HYPERLINK("http://slimages.macys.com/is/image/MCY/9988589 ")</f>
        <v xml:space="preserve">http://slimages.macys.com/is/image/MCY/9988589 </v>
      </c>
      <c r="N77" s="30"/>
    </row>
    <row r="78" spans="1:14" ht="60" x14ac:dyDescent="0.25">
      <c r="A78" s="19" t="s">
        <v>9857</v>
      </c>
      <c r="B78" s="17" t="s">
        <v>9856</v>
      </c>
      <c r="C78" s="20">
        <v>1</v>
      </c>
      <c r="D78" s="18">
        <v>59.25</v>
      </c>
      <c r="E78" s="20">
        <v>10751725</v>
      </c>
      <c r="F78" s="17" t="s">
        <v>51</v>
      </c>
      <c r="G78" s="19" t="s">
        <v>874</v>
      </c>
      <c r="H78" s="18">
        <v>22</v>
      </c>
      <c r="I78" s="17" t="s">
        <v>33</v>
      </c>
      <c r="J78" s="17" t="s">
        <v>143</v>
      </c>
      <c r="K78" s="17" t="s">
        <v>389</v>
      </c>
      <c r="L78" s="17" t="s">
        <v>662</v>
      </c>
      <c r="M78" s="16" t="str">
        <f>HYPERLINK("http://slimages.macys.com/is/image/MCY/15858093 ")</f>
        <v xml:space="preserve">http://slimages.macys.com/is/image/MCY/15858093 </v>
      </c>
      <c r="N78" s="30"/>
    </row>
    <row r="79" spans="1:14" ht="60" x14ac:dyDescent="0.25">
      <c r="A79" s="19" t="s">
        <v>9855</v>
      </c>
      <c r="B79" s="17" t="s">
        <v>9854</v>
      </c>
      <c r="C79" s="20">
        <v>1</v>
      </c>
      <c r="D79" s="18">
        <v>99</v>
      </c>
      <c r="E79" s="20" t="s">
        <v>9853</v>
      </c>
      <c r="F79" s="17" t="s">
        <v>23</v>
      </c>
      <c r="G79" s="19" t="s">
        <v>3844</v>
      </c>
      <c r="H79" s="18">
        <v>22</v>
      </c>
      <c r="I79" s="17" t="s">
        <v>115</v>
      </c>
      <c r="J79" s="17" t="s">
        <v>2130</v>
      </c>
      <c r="K79" s="17"/>
      <c r="L79" s="17"/>
      <c r="M79" s="16" t="str">
        <f>HYPERLINK("http://slimages.macys.com/is/image/MCY/18948306 ")</f>
        <v xml:space="preserve">http://slimages.macys.com/is/image/MCY/18948306 </v>
      </c>
      <c r="N79" s="30"/>
    </row>
    <row r="80" spans="1:14" ht="60" x14ac:dyDescent="0.25">
      <c r="A80" s="19" t="s">
        <v>3955</v>
      </c>
      <c r="B80" s="17" t="s">
        <v>3954</v>
      </c>
      <c r="C80" s="20">
        <v>2</v>
      </c>
      <c r="D80" s="18">
        <v>109</v>
      </c>
      <c r="E80" s="20">
        <v>10807724</v>
      </c>
      <c r="F80" s="17" t="s">
        <v>282</v>
      </c>
      <c r="G80" s="19" t="s">
        <v>351</v>
      </c>
      <c r="H80" s="18">
        <v>21.8</v>
      </c>
      <c r="I80" s="17" t="s">
        <v>358</v>
      </c>
      <c r="J80" s="17" t="s">
        <v>554</v>
      </c>
      <c r="K80" s="17"/>
      <c r="L80" s="17"/>
      <c r="M80" s="16" t="str">
        <f>HYPERLINK("http://slimages.macys.com/is/image/MCY/19205622 ")</f>
        <v xml:space="preserve">http://slimages.macys.com/is/image/MCY/19205622 </v>
      </c>
      <c r="N80" s="30"/>
    </row>
    <row r="81" spans="1:14" ht="60" x14ac:dyDescent="0.25">
      <c r="A81" s="19" t="s">
        <v>9852</v>
      </c>
      <c r="B81" s="17" t="s">
        <v>9851</v>
      </c>
      <c r="C81" s="20">
        <v>2</v>
      </c>
      <c r="D81" s="18">
        <v>109</v>
      </c>
      <c r="E81" s="20">
        <v>10807724</v>
      </c>
      <c r="F81" s="17" t="s">
        <v>282</v>
      </c>
      <c r="G81" s="19" t="s">
        <v>271</v>
      </c>
      <c r="H81" s="18">
        <v>21.8</v>
      </c>
      <c r="I81" s="17" t="s">
        <v>358</v>
      </c>
      <c r="J81" s="17" t="s">
        <v>554</v>
      </c>
      <c r="K81" s="17"/>
      <c r="L81" s="17"/>
      <c r="M81" s="16" t="str">
        <f>HYPERLINK("http://slimages.macys.com/is/image/MCY/19205622 ")</f>
        <v xml:space="preserve">http://slimages.macys.com/is/image/MCY/19205622 </v>
      </c>
      <c r="N81" s="30"/>
    </row>
    <row r="82" spans="1:14" ht="120" x14ac:dyDescent="0.25">
      <c r="A82" s="19" t="s">
        <v>9850</v>
      </c>
      <c r="B82" s="17" t="s">
        <v>9849</v>
      </c>
      <c r="C82" s="20">
        <v>1</v>
      </c>
      <c r="D82" s="18">
        <v>89</v>
      </c>
      <c r="E82" s="20" t="s">
        <v>2116</v>
      </c>
      <c r="F82" s="17" t="s">
        <v>91</v>
      </c>
      <c r="G82" s="19" t="s">
        <v>898</v>
      </c>
      <c r="H82" s="18">
        <v>21.666666666666668</v>
      </c>
      <c r="I82" s="17" t="s">
        <v>678</v>
      </c>
      <c r="J82" s="17" t="s">
        <v>404</v>
      </c>
      <c r="K82" s="17" t="s">
        <v>389</v>
      </c>
      <c r="L82" s="17" t="s">
        <v>2115</v>
      </c>
      <c r="M82" s="16" t="str">
        <f>HYPERLINK("http://slimages.macys.com/is/image/MCY/8809233 ")</f>
        <v xml:space="preserve">http://slimages.macys.com/is/image/MCY/8809233 </v>
      </c>
      <c r="N82" s="30"/>
    </row>
    <row r="83" spans="1:14" ht="60" x14ac:dyDescent="0.25">
      <c r="A83" s="19" t="s">
        <v>9848</v>
      </c>
      <c r="B83" s="17" t="s">
        <v>9847</v>
      </c>
      <c r="C83" s="20">
        <v>1</v>
      </c>
      <c r="D83" s="18">
        <v>98</v>
      </c>
      <c r="E83" s="20" t="s">
        <v>2112</v>
      </c>
      <c r="F83" s="17" t="s">
        <v>58</v>
      </c>
      <c r="G83" s="19" t="s">
        <v>62</v>
      </c>
      <c r="H83" s="18">
        <v>21.626666666666669</v>
      </c>
      <c r="I83" s="17" t="s">
        <v>49</v>
      </c>
      <c r="J83" s="17" t="s">
        <v>48</v>
      </c>
      <c r="K83" s="17"/>
      <c r="L83" s="17"/>
      <c r="M83" s="16" t="str">
        <f>HYPERLINK("http://slimages.macys.com/is/image/MCY/19350222 ")</f>
        <v xml:space="preserve">http://slimages.macys.com/is/image/MCY/19350222 </v>
      </c>
      <c r="N83" s="30"/>
    </row>
    <row r="84" spans="1:14" ht="60" x14ac:dyDescent="0.25">
      <c r="A84" s="19" t="s">
        <v>690</v>
      </c>
      <c r="B84" s="17" t="s">
        <v>689</v>
      </c>
      <c r="C84" s="20">
        <v>1</v>
      </c>
      <c r="D84" s="18">
        <v>98</v>
      </c>
      <c r="E84" s="20" t="s">
        <v>688</v>
      </c>
      <c r="F84" s="17"/>
      <c r="G84" s="19"/>
      <c r="H84" s="18">
        <v>21.626666666666669</v>
      </c>
      <c r="I84" s="17" t="s">
        <v>49</v>
      </c>
      <c r="J84" s="17" t="s">
        <v>48</v>
      </c>
      <c r="K84" s="17"/>
      <c r="L84" s="17"/>
      <c r="M84" s="16" t="str">
        <f>HYPERLINK("http://slimages.macys.com/is/image/MCY/18990443 ")</f>
        <v xml:space="preserve">http://slimages.macys.com/is/image/MCY/18990443 </v>
      </c>
      <c r="N84" s="30"/>
    </row>
    <row r="85" spans="1:14" ht="60" x14ac:dyDescent="0.25">
      <c r="A85" s="19" t="s">
        <v>9846</v>
      </c>
      <c r="B85" s="17" t="s">
        <v>9845</v>
      </c>
      <c r="C85" s="20">
        <v>1</v>
      </c>
      <c r="D85" s="18">
        <v>98</v>
      </c>
      <c r="E85" s="20" t="s">
        <v>8723</v>
      </c>
      <c r="F85" s="17" t="s">
        <v>23</v>
      </c>
      <c r="G85" s="19" t="s">
        <v>22</v>
      </c>
      <c r="H85" s="18">
        <v>21.626666666666669</v>
      </c>
      <c r="I85" s="17" t="s">
        <v>49</v>
      </c>
      <c r="J85" s="17" t="s">
        <v>48</v>
      </c>
      <c r="K85" s="17"/>
      <c r="L85" s="17"/>
      <c r="M85" s="16" t="str">
        <f>HYPERLINK("http://slimages.macys.com/is/image/MCY/18901615 ")</f>
        <v xml:space="preserve">http://slimages.macys.com/is/image/MCY/18901615 </v>
      </c>
      <c r="N85" s="30"/>
    </row>
    <row r="86" spans="1:14" ht="60" x14ac:dyDescent="0.25">
      <c r="A86" s="19" t="s">
        <v>8722</v>
      </c>
      <c r="B86" s="17" t="s">
        <v>8721</v>
      </c>
      <c r="C86" s="20">
        <v>1</v>
      </c>
      <c r="D86" s="18">
        <v>129</v>
      </c>
      <c r="E86" s="20">
        <v>10771242</v>
      </c>
      <c r="F86" s="17" t="s">
        <v>575</v>
      </c>
      <c r="G86" s="19" t="s">
        <v>351</v>
      </c>
      <c r="H86" s="18">
        <v>21.5</v>
      </c>
      <c r="I86" s="17" t="s">
        <v>1307</v>
      </c>
      <c r="J86" s="17" t="s">
        <v>1306</v>
      </c>
      <c r="K86" s="17"/>
      <c r="L86" s="17"/>
      <c r="M86" s="16" t="str">
        <f>HYPERLINK("http://slimages.macys.com/is/image/MCY/18973177 ")</f>
        <v xml:space="preserve">http://slimages.macys.com/is/image/MCY/18973177 </v>
      </c>
      <c r="N86" s="30"/>
    </row>
    <row r="87" spans="1:14" ht="60" x14ac:dyDescent="0.25">
      <c r="A87" s="19" t="s">
        <v>9844</v>
      </c>
      <c r="B87" s="17" t="s">
        <v>9843</v>
      </c>
      <c r="C87" s="20">
        <v>1</v>
      </c>
      <c r="D87" s="18">
        <v>129</v>
      </c>
      <c r="E87" s="20">
        <v>10769668</v>
      </c>
      <c r="F87" s="17" t="s">
        <v>508</v>
      </c>
      <c r="G87" s="19" t="s">
        <v>27</v>
      </c>
      <c r="H87" s="18">
        <v>21.5</v>
      </c>
      <c r="I87" s="17" t="s">
        <v>120</v>
      </c>
      <c r="J87" s="17" t="s">
        <v>119</v>
      </c>
      <c r="K87" s="17"/>
      <c r="L87" s="17"/>
      <c r="M87" s="16" t="str">
        <f>HYPERLINK("http://slimages.macys.com/is/image/MCY/19266030 ")</f>
        <v xml:space="preserve">http://slimages.macys.com/is/image/MCY/19266030 </v>
      </c>
      <c r="N87" s="30"/>
    </row>
    <row r="88" spans="1:14" ht="60" x14ac:dyDescent="0.25">
      <c r="A88" s="19" t="s">
        <v>9842</v>
      </c>
      <c r="B88" s="17" t="s">
        <v>9841</v>
      </c>
      <c r="C88" s="20">
        <v>1</v>
      </c>
      <c r="D88" s="18">
        <v>129</v>
      </c>
      <c r="E88" s="20">
        <v>10772220</v>
      </c>
      <c r="F88" s="17" t="s">
        <v>575</v>
      </c>
      <c r="G88" s="19" t="s">
        <v>74</v>
      </c>
      <c r="H88" s="18">
        <v>21.5</v>
      </c>
      <c r="I88" s="17" t="s">
        <v>120</v>
      </c>
      <c r="J88" s="17" t="s">
        <v>119</v>
      </c>
      <c r="K88" s="17"/>
      <c r="L88" s="17"/>
      <c r="M88" s="16" t="str">
        <f>HYPERLINK("http://slimages.macys.com/is/image/MCY/19265334 ")</f>
        <v xml:space="preserve">http://slimages.macys.com/is/image/MCY/19265334 </v>
      </c>
      <c r="N88" s="30"/>
    </row>
    <row r="89" spans="1:14" ht="96" x14ac:dyDescent="0.25">
      <c r="A89" s="19" t="s">
        <v>9840</v>
      </c>
      <c r="B89" s="17" t="s">
        <v>9839</v>
      </c>
      <c r="C89" s="20">
        <v>1</v>
      </c>
      <c r="D89" s="18">
        <v>89.98</v>
      </c>
      <c r="E89" s="20" t="s">
        <v>670</v>
      </c>
      <c r="F89" s="17" t="s">
        <v>28</v>
      </c>
      <c r="G89" s="19" t="s">
        <v>1968</v>
      </c>
      <c r="H89" s="18">
        <v>20.993333333333336</v>
      </c>
      <c r="I89" s="17" t="s">
        <v>33</v>
      </c>
      <c r="J89" s="17" t="s">
        <v>32</v>
      </c>
      <c r="K89" s="17" t="s">
        <v>389</v>
      </c>
      <c r="L89" s="17" t="s">
        <v>668</v>
      </c>
      <c r="M89" s="16" t="str">
        <f>HYPERLINK("http://slimages.macys.com/is/image/MCY/11137226 ")</f>
        <v xml:space="preserve">http://slimages.macys.com/is/image/MCY/11137226 </v>
      </c>
      <c r="N89" s="30"/>
    </row>
    <row r="90" spans="1:14" ht="96" x14ac:dyDescent="0.25">
      <c r="A90" s="19" t="s">
        <v>9838</v>
      </c>
      <c r="B90" s="17" t="s">
        <v>9837</v>
      </c>
      <c r="C90" s="20">
        <v>1</v>
      </c>
      <c r="D90" s="18">
        <v>89.98</v>
      </c>
      <c r="E90" s="20" t="s">
        <v>670</v>
      </c>
      <c r="F90" s="17" t="s">
        <v>28</v>
      </c>
      <c r="G90" s="19" t="s">
        <v>1155</v>
      </c>
      <c r="H90" s="18">
        <v>20.993333333333336</v>
      </c>
      <c r="I90" s="17" t="s">
        <v>33</v>
      </c>
      <c r="J90" s="17" t="s">
        <v>32</v>
      </c>
      <c r="K90" s="17" t="s">
        <v>389</v>
      </c>
      <c r="L90" s="17" t="s">
        <v>668</v>
      </c>
      <c r="M90" s="16" t="str">
        <f>HYPERLINK("http://slimages.macys.com/is/image/MCY/11137226 ")</f>
        <v xml:space="preserve">http://slimages.macys.com/is/image/MCY/11137226 </v>
      </c>
      <c r="N90" s="30"/>
    </row>
    <row r="91" spans="1:14" ht="60" x14ac:dyDescent="0.25">
      <c r="A91" s="19" t="s">
        <v>9836</v>
      </c>
      <c r="B91" s="17" t="s">
        <v>9835</v>
      </c>
      <c r="C91" s="20">
        <v>1</v>
      </c>
      <c r="D91" s="18">
        <v>74.25</v>
      </c>
      <c r="E91" s="20">
        <v>10769850</v>
      </c>
      <c r="F91" s="17" t="s">
        <v>23</v>
      </c>
      <c r="G91" s="19" t="s">
        <v>1292</v>
      </c>
      <c r="H91" s="18">
        <v>20.793333333333337</v>
      </c>
      <c r="I91" s="17" t="s">
        <v>358</v>
      </c>
      <c r="J91" s="17" t="s">
        <v>143</v>
      </c>
      <c r="K91" s="17"/>
      <c r="L91" s="17"/>
      <c r="M91" s="16" t="str">
        <f>HYPERLINK("http://slimages.macys.com/is/image/MCY/18600598 ")</f>
        <v xml:space="preserve">http://slimages.macys.com/is/image/MCY/18600598 </v>
      </c>
      <c r="N91" s="30"/>
    </row>
    <row r="92" spans="1:14" ht="60" x14ac:dyDescent="0.25">
      <c r="A92" s="19" t="s">
        <v>9834</v>
      </c>
      <c r="B92" s="17" t="s">
        <v>9833</v>
      </c>
      <c r="C92" s="20">
        <v>2</v>
      </c>
      <c r="D92" s="18">
        <v>74.25</v>
      </c>
      <c r="E92" s="20">
        <v>10773042</v>
      </c>
      <c r="F92" s="17" t="s">
        <v>63</v>
      </c>
      <c r="G92" s="19" t="s">
        <v>880</v>
      </c>
      <c r="H92" s="18">
        <v>20.793333333333337</v>
      </c>
      <c r="I92" s="17" t="s">
        <v>358</v>
      </c>
      <c r="J92" s="17" t="s">
        <v>143</v>
      </c>
      <c r="K92" s="17"/>
      <c r="L92" s="17"/>
      <c r="M92" s="16" t="str">
        <f>HYPERLINK("http://slimages.macys.com/is/image/MCY/17750054 ")</f>
        <v xml:space="preserve">http://slimages.macys.com/is/image/MCY/17750054 </v>
      </c>
      <c r="N92" s="30"/>
    </row>
    <row r="93" spans="1:14" ht="84" x14ac:dyDescent="0.25">
      <c r="A93" s="19" t="s">
        <v>9832</v>
      </c>
      <c r="B93" s="17" t="s">
        <v>9831</v>
      </c>
      <c r="C93" s="20">
        <v>1</v>
      </c>
      <c r="D93" s="18">
        <v>89</v>
      </c>
      <c r="E93" s="20">
        <v>7069203</v>
      </c>
      <c r="F93" s="17" t="s">
        <v>63</v>
      </c>
      <c r="G93" s="19" t="s">
        <v>22</v>
      </c>
      <c r="H93" s="18">
        <v>20.766666666666669</v>
      </c>
      <c r="I93" s="17" t="s">
        <v>111</v>
      </c>
      <c r="J93" s="17" t="s">
        <v>110</v>
      </c>
      <c r="K93" s="17" t="s">
        <v>637</v>
      </c>
      <c r="L93" s="17" t="s">
        <v>9830</v>
      </c>
      <c r="M93" s="16" t="str">
        <f>HYPERLINK("http://images.bloomingdales.com/is/image/BLM/11165885 ")</f>
        <v xml:space="preserve">http://images.bloomingdales.com/is/image/BLM/11165885 </v>
      </c>
      <c r="N93" s="30"/>
    </row>
    <row r="94" spans="1:14" ht="60" x14ac:dyDescent="0.25">
      <c r="A94" s="19" t="s">
        <v>9829</v>
      </c>
      <c r="B94" s="17" t="s">
        <v>9828</v>
      </c>
      <c r="C94" s="20">
        <v>1</v>
      </c>
      <c r="D94" s="18">
        <v>89</v>
      </c>
      <c r="E94" s="20" t="s">
        <v>9827</v>
      </c>
      <c r="F94" s="17" t="s">
        <v>330</v>
      </c>
      <c r="G94" s="19" t="s">
        <v>857</v>
      </c>
      <c r="H94" s="18">
        <v>20.766666666666669</v>
      </c>
      <c r="I94" s="17" t="s">
        <v>144</v>
      </c>
      <c r="J94" s="17" t="s">
        <v>496</v>
      </c>
      <c r="K94" s="17" t="s">
        <v>389</v>
      </c>
      <c r="L94" s="17" t="s">
        <v>9826</v>
      </c>
      <c r="M94" s="16" t="str">
        <f>HYPERLINK("http://slimages.macys.com/is/image/MCY/8231090 ")</f>
        <v xml:space="preserve">http://slimages.macys.com/is/image/MCY/8231090 </v>
      </c>
      <c r="N94" s="30"/>
    </row>
    <row r="95" spans="1:14" ht="144" x14ac:dyDescent="0.25">
      <c r="A95" s="19" t="s">
        <v>9825</v>
      </c>
      <c r="B95" s="17" t="s">
        <v>9824</v>
      </c>
      <c r="C95" s="20">
        <v>1</v>
      </c>
      <c r="D95" s="18">
        <v>119</v>
      </c>
      <c r="E95" s="20" t="s">
        <v>1337</v>
      </c>
      <c r="F95" s="17" t="s">
        <v>575</v>
      </c>
      <c r="G95" s="19" t="s">
        <v>1397</v>
      </c>
      <c r="H95" s="18">
        <v>20.666666666666668</v>
      </c>
      <c r="I95" s="17" t="s">
        <v>550</v>
      </c>
      <c r="J95" s="17" t="s">
        <v>1090</v>
      </c>
      <c r="K95" s="17" t="s">
        <v>389</v>
      </c>
      <c r="L95" s="17" t="s">
        <v>1335</v>
      </c>
      <c r="M95" s="16" t="str">
        <f>HYPERLINK("http://slimages.macys.com/is/image/MCY/9626500 ")</f>
        <v xml:space="preserve">http://slimages.macys.com/is/image/MCY/9626500 </v>
      </c>
      <c r="N95" s="30"/>
    </row>
    <row r="96" spans="1:14" ht="60" x14ac:dyDescent="0.25">
      <c r="A96" s="19" t="s">
        <v>7630</v>
      </c>
      <c r="B96" s="17" t="s">
        <v>7629</v>
      </c>
      <c r="C96" s="20">
        <v>1</v>
      </c>
      <c r="D96" s="18">
        <v>81.75</v>
      </c>
      <c r="E96" s="20" t="s">
        <v>3926</v>
      </c>
      <c r="F96" s="17" t="s">
        <v>1382</v>
      </c>
      <c r="G96" s="19" t="s">
        <v>880</v>
      </c>
      <c r="H96" s="18">
        <v>20.573333333333334</v>
      </c>
      <c r="I96" s="17" t="s">
        <v>358</v>
      </c>
      <c r="J96" s="17" t="s">
        <v>32</v>
      </c>
      <c r="K96" s="17"/>
      <c r="L96" s="17"/>
      <c r="M96" s="16" t="str">
        <f>HYPERLINK("http://slimages.macys.com/is/image/MCY/19254769 ")</f>
        <v xml:space="preserve">http://slimages.macys.com/is/image/MCY/19254769 </v>
      </c>
      <c r="N96" s="30"/>
    </row>
    <row r="97" spans="1:14" ht="60" x14ac:dyDescent="0.25">
      <c r="A97" s="19" t="s">
        <v>9823</v>
      </c>
      <c r="B97" s="17" t="s">
        <v>9822</v>
      </c>
      <c r="C97" s="20">
        <v>1</v>
      </c>
      <c r="D97" s="18">
        <v>81.75</v>
      </c>
      <c r="E97" s="20" t="s">
        <v>9821</v>
      </c>
      <c r="F97" s="17" t="s">
        <v>263</v>
      </c>
      <c r="G97" s="19" t="s">
        <v>1445</v>
      </c>
      <c r="H97" s="18">
        <v>20.573333333333334</v>
      </c>
      <c r="I97" s="17" t="s">
        <v>358</v>
      </c>
      <c r="J97" s="17" t="s">
        <v>32</v>
      </c>
      <c r="K97" s="17"/>
      <c r="L97" s="17"/>
      <c r="M97" s="16" t="str">
        <f>HYPERLINK("http://slimages.macys.com/is/image/MCY/18855546 ")</f>
        <v xml:space="preserve">http://slimages.macys.com/is/image/MCY/18855546 </v>
      </c>
      <c r="N97" s="30"/>
    </row>
    <row r="98" spans="1:14" ht="60" x14ac:dyDescent="0.25">
      <c r="A98" s="19" t="s">
        <v>9820</v>
      </c>
      <c r="B98" s="17" t="s">
        <v>9819</v>
      </c>
      <c r="C98" s="20">
        <v>1</v>
      </c>
      <c r="D98" s="18">
        <v>119</v>
      </c>
      <c r="E98" s="20">
        <v>10771240</v>
      </c>
      <c r="F98" s="17" t="s">
        <v>575</v>
      </c>
      <c r="G98" s="19" t="s">
        <v>57</v>
      </c>
      <c r="H98" s="18">
        <v>19.833333333333336</v>
      </c>
      <c r="I98" s="17" t="s">
        <v>120</v>
      </c>
      <c r="J98" s="17" t="s">
        <v>119</v>
      </c>
      <c r="K98" s="17"/>
      <c r="L98" s="17"/>
      <c r="M98" s="16" t="str">
        <f>HYPERLINK("http://slimages.macys.com/is/image/MCY/19265518 ")</f>
        <v xml:space="preserve">http://slimages.macys.com/is/image/MCY/19265518 </v>
      </c>
      <c r="N98" s="30"/>
    </row>
    <row r="99" spans="1:14" ht="60" x14ac:dyDescent="0.25">
      <c r="A99" s="19" t="s">
        <v>9818</v>
      </c>
      <c r="B99" s="17" t="s">
        <v>9817</v>
      </c>
      <c r="C99" s="20">
        <v>1</v>
      </c>
      <c r="D99" s="18">
        <v>99</v>
      </c>
      <c r="E99" s="20">
        <v>10751276</v>
      </c>
      <c r="F99" s="17" t="s">
        <v>578</v>
      </c>
      <c r="G99" s="19" t="s">
        <v>96</v>
      </c>
      <c r="H99" s="18">
        <v>19.8</v>
      </c>
      <c r="I99" s="17" t="s">
        <v>115</v>
      </c>
      <c r="J99" s="17" t="s">
        <v>1265</v>
      </c>
      <c r="K99" s="17"/>
      <c r="L99" s="17"/>
      <c r="M99" s="16" t="str">
        <f>HYPERLINK("http://slimages.macys.com/is/image/MCY/16891398 ")</f>
        <v xml:space="preserve">http://slimages.macys.com/is/image/MCY/16891398 </v>
      </c>
      <c r="N99" s="30"/>
    </row>
    <row r="100" spans="1:14" ht="60" x14ac:dyDescent="0.25">
      <c r="A100" s="19" t="s">
        <v>6786</v>
      </c>
      <c r="B100" s="17" t="s">
        <v>6785</v>
      </c>
      <c r="C100" s="20">
        <v>1</v>
      </c>
      <c r="D100" s="18">
        <v>99</v>
      </c>
      <c r="E100" s="20">
        <v>10773460</v>
      </c>
      <c r="F100" s="17" t="s">
        <v>51</v>
      </c>
      <c r="G100" s="19" t="s">
        <v>96</v>
      </c>
      <c r="H100" s="18">
        <v>19.8</v>
      </c>
      <c r="I100" s="17" t="s">
        <v>115</v>
      </c>
      <c r="J100" s="17" t="s">
        <v>1265</v>
      </c>
      <c r="K100" s="17"/>
      <c r="L100" s="17"/>
      <c r="M100" s="16" t="str">
        <f>HYPERLINK("http://slimages.macys.com/is/image/MCY/16946407 ")</f>
        <v xml:space="preserve">http://slimages.macys.com/is/image/MCY/16946407 </v>
      </c>
      <c r="N100" s="30"/>
    </row>
    <row r="101" spans="1:14" ht="60" x14ac:dyDescent="0.25">
      <c r="A101" s="19" t="s">
        <v>9816</v>
      </c>
      <c r="B101" s="17" t="s">
        <v>9815</v>
      </c>
      <c r="C101" s="20">
        <v>1</v>
      </c>
      <c r="D101" s="18">
        <v>99</v>
      </c>
      <c r="E101" s="20">
        <v>10773540</v>
      </c>
      <c r="F101" s="17" t="s">
        <v>28</v>
      </c>
      <c r="G101" s="19" t="s">
        <v>857</v>
      </c>
      <c r="H101" s="18">
        <v>19.8</v>
      </c>
      <c r="I101" s="17" t="s">
        <v>115</v>
      </c>
      <c r="J101" s="17" t="s">
        <v>1265</v>
      </c>
      <c r="K101" s="17"/>
      <c r="L101" s="17"/>
      <c r="M101" s="16" t="str">
        <f>HYPERLINK("http://slimages.macys.com/is/image/MCY/16947461 ")</f>
        <v xml:space="preserve">http://slimages.macys.com/is/image/MCY/16947461 </v>
      </c>
      <c r="N101" s="30"/>
    </row>
    <row r="102" spans="1:14" ht="60" x14ac:dyDescent="0.25">
      <c r="A102" s="19" t="s">
        <v>9814</v>
      </c>
      <c r="B102" s="17" t="s">
        <v>9813</v>
      </c>
      <c r="C102" s="20">
        <v>1</v>
      </c>
      <c r="D102" s="18">
        <v>99</v>
      </c>
      <c r="E102" s="20">
        <v>10746260</v>
      </c>
      <c r="F102" s="17" t="s">
        <v>51</v>
      </c>
      <c r="G102" s="19" t="s">
        <v>857</v>
      </c>
      <c r="H102" s="18">
        <v>19.8</v>
      </c>
      <c r="I102" s="17" t="s">
        <v>115</v>
      </c>
      <c r="J102" s="17" t="s">
        <v>1265</v>
      </c>
      <c r="K102" s="17"/>
      <c r="L102" s="17"/>
      <c r="M102" s="16" t="str">
        <f>HYPERLINK("http://slimages.macys.com/is/image/MCY/16891488 ")</f>
        <v xml:space="preserve">http://slimages.macys.com/is/image/MCY/16891488 </v>
      </c>
      <c r="N102" s="30"/>
    </row>
    <row r="103" spans="1:14" ht="60" x14ac:dyDescent="0.25">
      <c r="A103" s="19" t="s">
        <v>9812</v>
      </c>
      <c r="B103" s="17" t="s">
        <v>9811</v>
      </c>
      <c r="C103" s="20">
        <v>1</v>
      </c>
      <c r="D103" s="18">
        <v>74.25</v>
      </c>
      <c r="E103" s="20">
        <v>10802078</v>
      </c>
      <c r="F103" s="17" t="s">
        <v>575</v>
      </c>
      <c r="G103" s="19" t="s">
        <v>351</v>
      </c>
      <c r="H103" s="18">
        <v>19.8</v>
      </c>
      <c r="I103" s="17" t="s">
        <v>358</v>
      </c>
      <c r="J103" s="17" t="s">
        <v>143</v>
      </c>
      <c r="K103" s="17"/>
      <c r="L103" s="17"/>
      <c r="M103" s="16" t="str">
        <f>HYPERLINK("http://slimages.macys.com/is/image/MCY/19150918 ")</f>
        <v xml:space="preserve">http://slimages.macys.com/is/image/MCY/19150918 </v>
      </c>
      <c r="N103" s="30"/>
    </row>
    <row r="104" spans="1:14" ht="60" x14ac:dyDescent="0.25">
      <c r="A104" s="19" t="s">
        <v>9810</v>
      </c>
      <c r="B104" s="17" t="s">
        <v>9809</v>
      </c>
      <c r="C104" s="20">
        <v>1</v>
      </c>
      <c r="D104" s="18">
        <v>99</v>
      </c>
      <c r="E104" s="20">
        <v>10773360</v>
      </c>
      <c r="F104" s="17" t="s">
        <v>578</v>
      </c>
      <c r="G104" s="19" t="s">
        <v>749</v>
      </c>
      <c r="H104" s="18">
        <v>19.8</v>
      </c>
      <c r="I104" s="17" t="s">
        <v>115</v>
      </c>
      <c r="J104" s="17" t="s">
        <v>1265</v>
      </c>
      <c r="K104" s="17"/>
      <c r="L104" s="17"/>
      <c r="M104" s="16" t="str">
        <f>HYPERLINK("http://slimages.macys.com/is/image/MCY/18884210 ")</f>
        <v xml:space="preserve">http://slimages.macys.com/is/image/MCY/18884210 </v>
      </c>
      <c r="N104" s="30"/>
    </row>
    <row r="105" spans="1:14" ht="60" x14ac:dyDescent="0.25">
      <c r="A105" s="19" t="s">
        <v>2060</v>
      </c>
      <c r="B105" s="17" t="s">
        <v>2059</v>
      </c>
      <c r="C105" s="20">
        <v>1</v>
      </c>
      <c r="D105" s="18">
        <v>99</v>
      </c>
      <c r="E105" s="20">
        <v>10773568</v>
      </c>
      <c r="F105" s="17" t="s">
        <v>51</v>
      </c>
      <c r="G105" s="19" t="s">
        <v>857</v>
      </c>
      <c r="H105" s="18">
        <v>19.8</v>
      </c>
      <c r="I105" s="17" t="s">
        <v>115</v>
      </c>
      <c r="J105" s="17" t="s">
        <v>1265</v>
      </c>
      <c r="K105" s="17"/>
      <c r="L105" s="17"/>
      <c r="M105" s="16" t="str">
        <f>HYPERLINK("http://slimages.macys.com/is/image/MCY/18650670 ")</f>
        <v xml:space="preserve">http://slimages.macys.com/is/image/MCY/18650670 </v>
      </c>
      <c r="N105" s="30"/>
    </row>
    <row r="106" spans="1:14" ht="60" x14ac:dyDescent="0.25">
      <c r="A106" s="19" t="s">
        <v>9808</v>
      </c>
      <c r="B106" s="17" t="s">
        <v>9807</v>
      </c>
      <c r="C106" s="20">
        <v>1</v>
      </c>
      <c r="D106" s="18">
        <v>99</v>
      </c>
      <c r="E106" s="20" t="s">
        <v>6780</v>
      </c>
      <c r="F106" s="17" t="s">
        <v>58</v>
      </c>
      <c r="G106" s="19" t="s">
        <v>658</v>
      </c>
      <c r="H106" s="18">
        <v>19.8</v>
      </c>
      <c r="I106" s="17" t="s">
        <v>678</v>
      </c>
      <c r="J106" s="17" t="s">
        <v>404</v>
      </c>
      <c r="K106" s="17"/>
      <c r="L106" s="17"/>
      <c r="M106" s="16" t="str">
        <f>HYPERLINK("http://slimages.macys.com/is/image/MCY/19101011 ")</f>
        <v xml:space="preserve">http://slimages.macys.com/is/image/MCY/19101011 </v>
      </c>
      <c r="N106" s="30"/>
    </row>
    <row r="107" spans="1:14" ht="60" x14ac:dyDescent="0.25">
      <c r="A107" s="19" t="s">
        <v>9806</v>
      </c>
      <c r="B107" s="17" t="s">
        <v>9805</v>
      </c>
      <c r="C107" s="20">
        <v>1</v>
      </c>
      <c r="D107" s="18">
        <v>99</v>
      </c>
      <c r="E107" s="20" t="s">
        <v>9804</v>
      </c>
      <c r="F107" s="17" t="s">
        <v>23</v>
      </c>
      <c r="G107" s="19" t="s">
        <v>898</v>
      </c>
      <c r="H107" s="18">
        <v>19.8</v>
      </c>
      <c r="I107" s="17" t="s">
        <v>678</v>
      </c>
      <c r="J107" s="17" t="s">
        <v>404</v>
      </c>
      <c r="K107" s="17"/>
      <c r="L107" s="17"/>
      <c r="M107" s="16" t="str">
        <f>HYPERLINK("http://slimages.macys.com/is/image/MCY/18760081 ")</f>
        <v xml:space="preserve">http://slimages.macys.com/is/image/MCY/18760081 </v>
      </c>
      <c r="N107" s="30"/>
    </row>
    <row r="108" spans="1:14" ht="60" x14ac:dyDescent="0.25">
      <c r="A108" s="19" t="s">
        <v>9803</v>
      </c>
      <c r="B108" s="17" t="s">
        <v>9802</v>
      </c>
      <c r="C108" s="20">
        <v>1</v>
      </c>
      <c r="D108" s="18">
        <v>99</v>
      </c>
      <c r="E108" s="20" t="s">
        <v>6780</v>
      </c>
      <c r="F108" s="17" t="s">
        <v>58</v>
      </c>
      <c r="G108" s="19" t="s">
        <v>96</v>
      </c>
      <c r="H108" s="18">
        <v>19.8</v>
      </c>
      <c r="I108" s="17" t="s">
        <v>678</v>
      </c>
      <c r="J108" s="17" t="s">
        <v>404</v>
      </c>
      <c r="K108" s="17"/>
      <c r="L108" s="17"/>
      <c r="M108" s="16" t="str">
        <f>HYPERLINK("http://slimages.macys.com/is/image/MCY/19101011 ")</f>
        <v xml:space="preserve">http://slimages.macys.com/is/image/MCY/19101011 </v>
      </c>
      <c r="N108" s="30"/>
    </row>
    <row r="109" spans="1:14" ht="60" x14ac:dyDescent="0.25">
      <c r="A109" s="19" t="s">
        <v>2890</v>
      </c>
      <c r="B109" s="17" t="s">
        <v>2889</v>
      </c>
      <c r="C109" s="20">
        <v>1</v>
      </c>
      <c r="D109" s="18">
        <v>99</v>
      </c>
      <c r="E109" s="20">
        <v>10773540</v>
      </c>
      <c r="F109" s="17" t="s">
        <v>28</v>
      </c>
      <c r="G109" s="19" t="s">
        <v>96</v>
      </c>
      <c r="H109" s="18">
        <v>19.8</v>
      </c>
      <c r="I109" s="17" t="s">
        <v>115</v>
      </c>
      <c r="J109" s="17" t="s">
        <v>1265</v>
      </c>
      <c r="K109" s="17"/>
      <c r="L109" s="17"/>
      <c r="M109" s="16" t="str">
        <f>HYPERLINK("http://slimages.macys.com/is/image/MCY/16947461 ")</f>
        <v xml:space="preserve">http://slimages.macys.com/is/image/MCY/16947461 </v>
      </c>
      <c r="N109" s="30"/>
    </row>
    <row r="110" spans="1:14" ht="60" x14ac:dyDescent="0.25">
      <c r="A110" s="19" t="s">
        <v>9801</v>
      </c>
      <c r="B110" s="17" t="s">
        <v>9800</v>
      </c>
      <c r="C110" s="20">
        <v>1</v>
      </c>
      <c r="D110" s="18">
        <v>99</v>
      </c>
      <c r="E110" s="20">
        <v>10759152</v>
      </c>
      <c r="F110" s="17" t="s">
        <v>28</v>
      </c>
      <c r="G110" s="19" t="s">
        <v>749</v>
      </c>
      <c r="H110" s="18">
        <v>19.8</v>
      </c>
      <c r="I110" s="17" t="s">
        <v>115</v>
      </c>
      <c r="J110" s="17" t="s">
        <v>1265</v>
      </c>
      <c r="K110" s="17"/>
      <c r="L110" s="17"/>
      <c r="M110" s="16" t="str">
        <f>HYPERLINK("http://slimages.macys.com/is/image/MCY/18884088 ")</f>
        <v xml:space="preserve">http://slimages.macys.com/is/image/MCY/18884088 </v>
      </c>
      <c r="N110" s="30"/>
    </row>
    <row r="111" spans="1:14" ht="60" x14ac:dyDescent="0.25">
      <c r="A111" s="19" t="s">
        <v>9799</v>
      </c>
      <c r="B111" s="17" t="s">
        <v>9798</v>
      </c>
      <c r="C111" s="20">
        <v>1</v>
      </c>
      <c r="D111" s="18">
        <v>99</v>
      </c>
      <c r="E111" s="20">
        <v>10773568</v>
      </c>
      <c r="F111" s="17" t="s">
        <v>51</v>
      </c>
      <c r="G111" s="19" t="s">
        <v>898</v>
      </c>
      <c r="H111" s="18">
        <v>19.8</v>
      </c>
      <c r="I111" s="17" t="s">
        <v>115</v>
      </c>
      <c r="J111" s="17" t="s">
        <v>1265</v>
      </c>
      <c r="K111" s="17"/>
      <c r="L111" s="17"/>
      <c r="M111" s="16" t="str">
        <f>HYPERLINK("http://slimages.macys.com/is/image/MCY/18650670 ")</f>
        <v xml:space="preserve">http://slimages.macys.com/is/image/MCY/18650670 </v>
      </c>
      <c r="N111" s="30"/>
    </row>
    <row r="112" spans="1:14" ht="60" x14ac:dyDescent="0.25">
      <c r="A112" s="19" t="s">
        <v>9797</v>
      </c>
      <c r="B112" s="17" t="s">
        <v>9796</v>
      </c>
      <c r="C112" s="20">
        <v>1</v>
      </c>
      <c r="D112" s="18">
        <v>89</v>
      </c>
      <c r="E112" s="20" t="s">
        <v>9795</v>
      </c>
      <c r="F112" s="17" t="s">
        <v>23</v>
      </c>
      <c r="G112" s="19" t="s">
        <v>22</v>
      </c>
      <c r="H112" s="18">
        <v>19.64</v>
      </c>
      <c r="I112" s="17" t="s">
        <v>49</v>
      </c>
      <c r="J112" s="17" t="s">
        <v>48</v>
      </c>
      <c r="K112" s="17"/>
      <c r="L112" s="17"/>
      <c r="M112" s="16" t="str">
        <f>HYPERLINK("http://slimages.macys.com/is/image/MCY/18510135 ")</f>
        <v xml:space="preserve">http://slimages.macys.com/is/image/MCY/18510135 </v>
      </c>
      <c r="N112" s="30"/>
    </row>
    <row r="113" spans="1:14" ht="60" x14ac:dyDescent="0.25">
      <c r="A113" s="19" t="s">
        <v>4631</v>
      </c>
      <c r="B113" s="17" t="s">
        <v>4630</v>
      </c>
      <c r="C113" s="20">
        <v>1</v>
      </c>
      <c r="D113" s="18">
        <v>89</v>
      </c>
      <c r="E113" s="20" t="s">
        <v>4629</v>
      </c>
      <c r="F113" s="17" t="s">
        <v>716</v>
      </c>
      <c r="G113" s="19" t="s">
        <v>22</v>
      </c>
      <c r="H113" s="18">
        <v>19.64</v>
      </c>
      <c r="I113" s="17" t="s">
        <v>49</v>
      </c>
      <c r="J113" s="17" t="s">
        <v>48</v>
      </c>
      <c r="K113" s="17"/>
      <c r="L113" s="17"/>
      <c r="M113" s="16" t="str">
        <f>HYPERLINK("http://slimages.macys.com/is/image/MCY/18990333 ")</f>
        <v xml:space="preserve">http://slimages.macys.com/is/image/MCY/18990333 </v>
      </c>
      <c r="N113" s="30"/>
    </row>
    <row r="114" spans="1:14" ht="60" x14ac:dyDescent="0.25">
      <c r="A114" s="19" t="s">
        <v>9794</v>
      </c>
      <c r="B114" s="17" t="s">
        <v>9793</v>
      </c>
      <c r="C114" s="20">
        <v>1</v>
      </c>
      <c r="D114" s="18">
        <v>65</v>
      </c>
      <c r="E114" s="20" t="s">
        <v>9792</v>
      </c>
      <c r="F114" s="17" t="s">
        <v>85</v>
      </c>
      <c r="G114" s="19" t="s">
        <v>62</v>
      </c>
      <c r="H114" s="18">
        <v>19.633333333333333</v>
      </c>
      <c r="I114" s="17" t="s">
        <v>16</v>
      </c>
      <c r="J114" s="17" t="s">
        <v>15</v>
      </c>
      <c r="K114" s="17"/>
      <c r="L114" s="17"/>
      <c r="M114" s="16" t="str">
        <f>HYPERLINK("http://slimages.macys.com/is/image/MCY/10205610 ")</f>
        <v xml:space="preserve">http://slimages.macys.com/is/image/MCY/10205610 </v>
      </c>
      <c r="N114" s="30"/>
    </row>
    <row r="115" spans="1:14" ht="96" x14ac:dyDescent="0.25">
      <c r="A115" s="19" t="s">
        <v>9791</v>
      </c>
      <c r="B115" s="17" t="s">
        <v>9790</v>
      </c>
      <c r="C115" s="20">
        <v>1</v>
      </c>
      <c r="D115" s="18">
        <v>129.5</v>
      </c>
      <c r="E115" s="20" t="s">
        <v>9789</v>
      </c>
      <c r="F115" s="17" t="s">
        <v>63</v>
      </c>
      <c r="G115" s="19" t="s">
        <v>116</v>
      </c>
      <c r="H115" s="18">
        <v>19.5</v>
      </c>
      <c r="I115" s="17" t="s">
        <v>68</v>
      </c>
      <c r="J115" s="17" t="s">
        <v>67</v>
      </c>
      <c r="K115" s="17" t="s">
        <v>389</v>
      </c>
      <c r="L115" s="17" t="s">
        <v>9788</v>
      </c>
      <c r="M115" s="16" t="str">
        <f>HYPERLINK("http://slimages.macys.com/is/image/MCY/12283124 ")</f>
        <v xml:space="preserve">http://slimages.macys.com/is/image/MCY/12283124 </v>
      </c>
      <c r="N115" s="30"/>
    </row>
    <row r="116" spans="1:14" ht="60" x14ac:dyDescent="0.25">
      <c r="A116" s="19" t="s">
        <v>8677</v>
      </c>
      <c r="B116" s="17" t="s">
        <v>8676</v>
      </c>
      <c r="C116" s="20">
        <v>1</v>
      </c>
      <c r="D116" s="18">
        <v>79</v>
      </c>
      <c r="E116" s="20" t="s">
        <v>8675</v>
      </c>
      <c r="F116" s="17" t="s">
        <v>282</v>
      </c>
      <c r="G116" s="19" t="s">
        <v>682</v>
      </c>
      <c r="H116" s="18">
        <v>19.226666666666667</v>
      </c>
      <c r="I116" s="17" t="s">
        <v>1363</v>
      </c>
      <c r="J116" s="17" t="s">
        <v>1362</v>
      </c>
      <c r="K116" s="17" t="s">
        <v>1945</v>
      </c>
      <c r="L116" s="17" t="s">
        <v>1804</v>
      </c>
      <c r="M116" s="16" t="str">
        <f>HYPERLINK("http://images.bloomingdales.com/is/image/BLM/11529271 ")</f>
        <v xml:space="preserve">http://images.bloomingdales.com/is/image/BLM/11529271 </v>
      </c>
      <c r="N116" s="30"/>
    </row>
    <row r="117" spans="1:14" ht="84" x14ac:dyDescent="0.25">
      <c r="A117" s="19" t="s">
        <v>9787</v>
      </c>
      <c r="B117" s="17" t="s">
        <v>9786</v>
      </c>
      <c r="C117" s="20">
        <v>1</v>
      </c>
      <c r="D117" s="18">
        <v>99</v>
      </c>
      <c r="E117" s="20">
        <v>10753154</v>
      </c>
      <c r="F117" s="17" t="s">
        <v>23</v>
      </c>
      <c r="G117" s="19" t="s">
        <v>271</v>
      </c>
      <c r="H117" s="18">
        <v>19.14</v>
      </c>
      <c r="I117" s="17" t="s">
        <v>1307</v>
      </c>
      <c r="J117" s="17" t="s">
        <v>1306</v>
      </c>
      <c r="K117" s="17" t="s">
        <v>389</v>
      </c>
      <c r="L117" s="17" t="s">
        <v>9785</v>
      </c>
      <c r="M117" s="16" t="str">
        <f>HYPERLINK("http://slimages.macys.com/is/image/MCY/15645100 ")</f>
        <v xml:space="preserve">http://slimages.macys.com/is/image/MCY/15645100 </v>
      </c>
      <c r="N117" s="30"/>
    </row>
    <row r="118" spans="1:14" ht="60" x14ac:dyDescent="0.25">
      <c r="A118" s="19" t="s">
        <v>9784</v>
      </c>
      <c r="B118" s="17" t="s">
        <v>9783</v>
      </c>
      <c r="C118" s="20">
        <v>1</v>
      </c>
      <c r="D118" s="18">
        <v>99</v>
      </c>
      <c r="E118" s="20">
        <v>10798956</v>
      </c>
      <c r="F118" s="17" t="s">
        <v>23</v>
      </c>
      <c r="G118" s="19" t="s">
        <v>96</v>
      </c>
      <c r="H118" s="18">
        <v>19.14</v>
      </c>
      <c r="I118" s="17" t="s">
        <v>120</v>
      </c>
      <c r="J118" s="17" t="s">
        <v>119</v>
      </c>
      <c r="K118" s="17"/>
      <c r="L118" s="17"/>
      <c r="M118" s="16" t="str">
        <f>HYPERLINK("http://slimages.macys.com/is/image/MCY/18850230 ")</f>
        <v xml:space="preserve">http://slimages.macys.com/is/image/MCY/18850230 </v>
      </c>
      <c r="N118" s="30"/>
    </row>
    <row r="119" spans="1:14" ht="96" x14ac:dyDescent="0.25">
      <c r="A119" s="19" t="s">
        <v>9782</v>
      </c>
      <c r="B119" s="17" t="s">
        <v>9781</v>
      </c>
      <c r="C119" s="20">
        <v>1</v>
      </c>
      <c r="D119" s="18">
        <v>119</v>
      </c>
      <c r="E119" s="20" t="s">
        <v>9780</v>
      </c>
      <c r="F119" s="17" t="s">
        <v>58</v>
      </c>
      <c r="G119" s="19" t="s">
        <v>9779</v>
      </c>
      <c r="H119" s="18">
        <v>19</v>
      </c>
      <c r="I119" s="17" t="s">
        <v>115</v>
      </c>
      <c r="J119" s="17" t="s">
        <v>1367</v>
      </c>
      <c r="K119" s="17" t="s">
        <v>389</v>
      </c>
      <c r="L119" s="17" t="s">
        <v>1401</v>
      </c>
      <c r="M119" s="16" t="str">
        <f>HYPERLINK("http://slimages.macys.com/is/image/MCY/12383449 ")</f>
        <v xml:space="preserve">http://slimages.macys.com/is/image/MCY/12383449 </v>
      </c>
      <c r="N119" s="30"/>
    </row>
    <row r="120" spans="1:14" ht="60" x14ac:dyDescent="0.25">
      <c r="A120" s="19" t="s">
        <v>9778</v>
      </c>
      <c r="B120" s="17" t="s">
        <v>9777</v>
      </c>
      <c r="C120" s="20">
        <v>1</v>
      </c>
      <c r="D120" s="18">
        <v>109</v>
      </c>
      <c r="E120" s="20" t="s">
        <v>9776</v>
      </c>
      <c r="F120" s="17" t="s">
        <v>51</v>
      </c>
      <c r="G120" s="19"/>
      <c r="H120" s="18">
        <v>19</v>
      </c>
      <c r="I120" s="17" t="s">
        <v>550</v>
      </c>
      <c r="J120" s="17" t="s">
        <v>1262</v>
      </c>
      <c r="K120" s="17"/>
      <c r="L120" s="17"/>
      <c r="M120" s="16" t="str">
        <f>HYPERLINK("http://slimages.macys.com/is/image/MCY/18760193 ")</f>
        <v xml:space="preserve">http://slimages.macys.com/is/image/MCY/18760193 </v>
      </c>
      <c r="N120" s="30"/>
    </row>
    <row r="121" spans="1:14" ht="60" x14ac:dyDescent="0.25">
      <c r="A121" s="19" t="s">
        <v>9775</v>
      </c>
      <c r="B121" s="17" t="s">
        <v>9774</v>
      </c>
      <c r="C121" s="20">
        <v>1</v>
      </c>
      <c r="D121" s="18">
        <v>89</v>
      </c>
      <c r="E121" s="20" t="s">
        <v>9773</v>
      </c>
      <c r="F121" s="17"/>
      <c r="G121" s="19" t="s">
        <v>62</v>
      </c>
      <c r="H121" s="18">
        <v>18.993333333333336</v>
      </c>
      <c r="I121" s="17" t="s">
        <v>49</v>
      </c>
      <c r="J121" s="17" t="s">
        <v>48</v>
      </c>
      <c r="K121" s="17"/>
      <c r="L121" s="17"/>
      <c r="M121" s="16" t="str">
        <f>HYPERLINK("http://slimages.macys.com/is/image/MCY/18013459 ")</f>
        <v xml:space="preserve">http://slimages.macys.com/is/image/MCY/18013459 </v>
      </c>
      <c r="N121" s="30"/>
    </row>
    <row r="122" spans="1:14" ht="60" x14ac:dyDescent="0.25">
      <c r="A122" s="19" t="s">
        <v>9772</v>
      </c>
      <c r="B122" s="17" t="s">
        <v>9771</v>
      </c>
      <c r="C122" s="20">
        <v>1</v>
      </c>
      <c r="D122" s="18">
        <v>89</v>
      </c>
      <c r="E122" s="20" t="s">
        <v>9770</v>
      </c>
      <c r="F122" s="17" t="s">
        <v>282</v>
      </c>
      <c r="G122" s="19" t="s">
        <v>22</v>
      </c>
      <c r="H122" s="18">
        <v>18.993333333333336</v>
      </c>
      <c r="I122" s="17" t="s">
        <v>49</v>
      </c>
      <c r="J122" s="17" t="s">
        <v>48</v>
      </c>
      <c r="K122" s="17"/>
      <c r="L122" s="17"/>
      <c r="M122" s="16" t="str">
        <f>HYPERLINK("http://slimages.macys.com/is/image/MCY/18576523 ")</f>
        <v xml:space="preserve">http://slimages.macys.com/is/image/MCY/18576523 </v>
      </c>
      <c r="N122" s="30"/>
    </row>
    <row r="123" spans="1:14" ht="60" x14ac:dyDescent="0.25">
      <c r="A123" s="19" t="s">
        <v>4618</v>
      </c>
      <c r="B123" s="17" t="s">
        <v>4617</v>
      </c>
      <c r="C123" s="20">
        <v>1</v>
      </c>
      <c r="D123" s="18">
        <v>89</v>
      </c>
      <c r="E123" s="20">
        <v>7069229</v>
      </c>
      <c r="F123" s="17" t="s">
        <v>508</v>
      </c>
      <c r="G123" s="19" t="s">
        <v>17</v>
      </c>
      <c r="H123" s="18">
        <v>18.986666666666668</v>
      </c>
      <c r="I123" s="17" t="s">
        <v>111</v>
      </c>
      <c r="J123" s="17" t="s">
        <v>110</v>
      </c>
      <c r="K123" s="17" t="s">
        <v>389</v>
      </c>
      <c r="L123" s="17" t="s">
        <v>2860</v>
      </c>
      <c r="M123" s="16" t="str">
        <f>HYPERLINK("http://slimages.macys.com/is/image/MCY/15239598 ")</f>
        <v xml:space="preserve">http://slimages.macys.com/is/image/MCY/15239598 </v>
      </c>
      <c r="N123" s="30"/>
    </row>
    <row r="124" spans="1:14" ht="60" x14ac:dyDescent="0.25">
      <c r="A124" s="19" t="s">
        <v>9769</v>
      </c>
      <c r="B124" s="17" t="s">
        <v>9768</v>
      </c>
      <c r="C124" s="20">
        <v>1</v>
      </c>
      <c r="D124" s="18">
        <v>89</v>
      </c>
      <c r="E124" s="20">
        <v>7069229</v>
      </c>
      <c r="F124" s="17" t="s">
        <v>508</v>
      </c>
      <c r="G124" s="19" t="s">
        <v>22</v>
      </c>
      <c r="H124" s="18">
        <v>18.986666666666668</v>
      </c>
      <c r="I124" s="17" t="s">
        <v>111</v>
      </c>
      <c r="J124" s="17" t="s">
        <v>110</v>
      </c>
      <c r="K124" s="17" t="s">
        <v>389</v>
      </c>
      <c r="L124" s="17" t="s">
        <v>2860</v>
      </c>
      <c r="M124" s="16" t="str">
        <f>HYPERLINK("http://slimages.macys.com/is/image/MCY/15239598 ")</f>
        <v xml:space="preserve">http://slimages.macys.com/is/image/MCY/15239598 </v>
      </c>
      <c r="N124" s="30"/>
    </row>
    <row r="125" spans="1:14" ht="84" x14ac:dyDescent="0.25">
      <c r="A125" s="19" t="s">
        <v>9767</v>
      </c>
      <c r="B125" s="17" t="s">
        <v>9766</v>
      </c>
      <c r="C125" s="20">
        <v>1</v>
      </c>
      <c r="D125" s="18">
        <v>109</v>
      </c>
      <c r="E125" s="20" t="s">
        <v>8669</v>
      </c>
      <c r="F125" s="17" t="s">
        <v>345</v>
      </c>
      <c r="G125" s="19" t="s">
        <v>5291</v>
      </c>
      <c r="H125" s="18">
        <v>18.893333333333334</v>
      </c>
      <c r="I125" s="17" t="s">
        <v>115</v>
      </c>
      <c r="J125" s="17" t="s">
        <v>3843</v>
      </c>
      <c r="K125" s="17" t="s">
        <v>389</v>
      </c>
      <c r="L125" s="17" t="s">
        <v>548</v>
      </c>
      <c r="M125" s="16" t="str">
        <f>HYPERLINK("http://slimages.macys.com/is/image/MCY/12936409 ")</f>
        <v xml:space="preserve">http://slimages.macys.com/is/image/MCY/12936409 </v>
      </c>
      <c r="N125" s="30"/>
    </row>
    <row r="126" spans="1:14" ht="60" x14ac:dyDescent="0.25">
      <c r="A126" s="19" t="s">
        <v>9765</v>
      </c>
      <c r="B126" s="17" t="s">
        <v>9764</v>
      </c>
      <c r="C126" s="20">
        <v>1</v>
      </c>
      <c r="D126" s="18">
        <v>66.75</v>
      </c>
      <c r="E126" s="20">
        <v>10771222</v>
      </c>
      <c r="F126" s="17" t="s">
        <v>263</v>
      </c>
      <c r="G126" s="19" t="s">
        <v>1445</v>
      </c>
      <c r="H126" s="18">
        <v>18.693333333333332</v>
      </c>
      <c r="I126" s="17" t="s">
        <v>358</v>
      </c>
      <c r="J126" s="17" t="s">
        <v>143</v>
      </c>
      <c r="K126" s="17"/>
      <c r="L126" s="17"/>
      <c r="M126" s="16" t="str">
        <f>HYPERLINK("http://slimages.macys.com/is/image/MCY/18737353 ")</f>
        <v xml:space="preserve">http://slimages.macys.com/is/image/MCY/18737353 </v>
      </c>
      <c r="N126" s="30"/>
    </row>
    <row r="127" spans="1:14" ht="60" x14ac:dyDescent="0.25">
      <c r="A127" s="19" t="s">
        <v>9763</v>
      </c>
      <c r="B127" s="17" t="s">
        <v>9762</v>
      </c>
      <c r="C127" s="20">
        <v>1</v>
      </c>
      <c r="D127" s="18">
        <v>74.25</v>
      </c>
      <c r="E127" s="20" t="s">
        <v>8654</v>
      </c>
      <c r="F127" s="17" t="s">
        <v>58</v>
      </c>
      <c r="G127" s="19" t="s">
        <v>1191</v>
      </c>
      <c r="H127" s="18">
        <v>18.686666666666667</v>
      </c>
      <c r="I127" s="17" t="s">
        <v>358</v>
      </c>
      <c r="J127" s="17" t="s">
        <v>32</v>
      </c>
      <c r="K127" s="17"/>
      <c r="L127" s="17"/>
      <c r="M127" s="16" t="str">
        <f>HYPERLINK("http://slimages.macys.com/is/image/MCY/18402726 ")</f>
        <v xml:space="preserve">http://slimages.macys.com/is/image/MCY/18402726 </v>
      </c>
      <c r="N127" s="30"/>
    </row>
    <row r="128" spans="1:14" ht="60" x14ac:dyDescent="0.25">
      <c r="A128" s="19" t="s">
        <v>6756</v>
      </c>
      <c r="B128" s="17" t="s">
        <v>6755</v>
      </c>
      <c r="C128" s="20">
        <v>1</v>
      </c>
      <c r="D128" s="18">
        <v>74.25</v>
      </c>
      <c r="E128" s="20" t="s">
        <v>6754</v>
      </c>
      <c r="F128" s="17" t="s">
        <v>28</v>
      </c>
      <c r="G128" s="19" t="s">
        <v>880</v>
      </c>
      <c r="H128" s="18">
        <v>18.68</v>
      </c>
      <c r="I128" s="17" t="s">
        <v>358</v>
      </c>
      <c r="J128" s="17" t="s">
        <v>32</v>
      </c>
      <c r="K128" s="17"/>
      <c r="L128" s="17"/>
      <c r="M128" s="16" t="str">
        <f>HYPERLINK("http://slimages.macys.com/is/image/MCY/18995753 ")</f>
        <v xml:space="preserve">http://slimages.macys.com/is/image/MCY/18995753 </v>
      </c>
      <c r="N128" s="30"/>
    </row>
    <row r="129" spans="1:14" ht="60" x14ac:dyDescent="0.25">
      <c r="A129" s="19" t="s">
        <v>6758</v>
      </c>
      <c r="B129" s="17" t="s">
        <v>6757</v>
      </c>
      <c r="C129" s="20">
        <v>1</v>
      </c>
      <c r="D129" s="18">
        <v>74.25</v>
      </c>
      <c r="E129" s="20" t="s">
        <v>6754</v>
      </c>
      <c r="F129" s="17" t="s">
        <v>28</v>
      </c>
      <c r="G129" s="19" t="s">
        <v>1292</v>
      </c>
      <c r="H129" s="18">
        <v>18.68</v>
      </c>
      <c r="I129" s="17" t="s">
        <v>358</v>
      </c>
      <c r="J129" s="17" t="s">
        <v>32</v>
      </c>
      <c r="K129" s="17"/>
      <c r="L129" s="17"/>
      <c r="M129" s="16" t="str">
        <f>HYPERLINK("http://slimages.macys.com/is/image/MCY/18995753 ")</f>
        <v xml:space="preserve">http://slimages.macys.com/is/image/MCY/18995753 </v>
      </c>
      <c r="N129" s="30"/>
    </row>
    <row r="130" spans="1:14" ht="60" x14ac:dyDescent="0.25">
      <c r="A130" s="19" t="s">
        <v>8651</v>
      </c>
      <c r="B130" s="17" t="s">
        <v>8650</v>
      </c>
      <c r="C130" s="20">
        <v>1</v>
      </c>
      <c r="D130" s="18">
        <v>74.25</v>
      </c>
      <c r="E130" s="20" t="s">
        <v>6754</v>
      </c>
      <c r="F130" s="17" t="s">
        <v>28</v>
      </c>
      <c r="G130" s="19" t="s">
        <v>916</v>
      </c>
      <c r="H130" s="18">
        <v>18.68</v>
      </c>
      <c r="I130" s="17" t="s">
        <v>358</v>
      </c>
      <c r="J130" s="17" t="s">
        <v>32</v>
      </c>
      <c r="K130" s="17"/>
      <c r="L130" s="17"/>
      <c r="M130" s="16" t="str">
        <f>HYPERLINK("http://slimages.macys.com/is/image/MCY/18995753 ")</f>
        <v xml:space="preserve">http://slimages.macys.com/is/image/MCY/18995753 </v>
      </c>
      <c r="N130" s="30"/>
    </row>
    <row r="131" spans="1:14" ht="60" x14ac:dyDescent="0.25">
      <c r="A131" s="19" t="s">
        <v>9761</v>
      </c>
      <c r="B131" s="17" t="s">
        <v>9760</v>
      </c>
      <c r="C131" s="20">
        <v>1</v>
      </c>
      <c r="D131" s="18">
        <v>129</v>
      </c>
      <c r="E131" s="20" t="s">
        <v>9757</v>
      </c>
      <c r="F131" s="17" t="s">
        <v>28</v>
      </c>
      <c r="G131" s="19" t="s">
        <v>6704</v>
      </c>
      <c r="H131" s="18">
        <v>18.666666666666668</v>
      </c>
      <c r="I131" s="17" t="s">
        <v>115</v>
      </c>
      <c r="J131" s="17" t="s">
        <v>2130</v>
      </c>
      <c r="K131" s="17"/>
      <c r="L131" s="17"/>
      <c r="M131" s="16" t="str">
        <f>HYPERLINK("http://slimages.macys.com/is/image/MCY/18746548 ")</f>
        <v xml:space="preserve">http://slimages.macys.com/is/image/MCY/18746548 </v>
      </c>
      <c r="N131" s="30"/>
    </row>
    <row r="132" spans="1:14" ht="60" x14ac:dyDescent="0.25">
      <c r="A132" s="19" t="s">
        <v>9759</v>
      </c>
      <c r="B132" s="17" t="s">
        <v>9758</v>
      </c>
      <c r="C132" s="20">
        <v>1</v>
      </c>
      <c r="D132" s="18">
        <v>129</v>
      </c>
      <c r="E132" s="20" t="s">
        <v>9757</v>
      </c>
      <c r="F132" s="17" t="s">
        <v>28</v>
      </c>
      <c r="G132" s="19" t="s">
        <v>6857</v>
      </c>
      <c r="H132" s="18">
        <v>18.666666666666668</v>
      </c>
      <c r="I132" s="17" t="s">
        <v>115</v>
      </c>
      <c r="J132" s="17" t="s">
        <v>2130</v>
      </c>
      <c r="K132" s="17"/>
      <c r="L132" s="17"/>
      <c r="M132" s="16" t="str">
        <f>HYPERLINK("http://slimages.macys.com/is/image/MCY/18746548 ")</f>
        <v xml:space="preserve">http://slimages.macys.com/is/image/MCY/18746548 </v>
      </c>
      <c r="N132" s="30"/>
    </row>
    <row r="133" spans="1:14" ht="60" x14ac:dyDescent="0.25">
      <c r="A133" s="19" t="s">
        <v>9756</v>
      </c>
      <c r="B133" s="17" t="s">
        <v>9755</v>
      </c>
      <c r="C133" s="20">
        <v>1</v>
      </c>
      <c r="D133" s="18">
        <v>69.5</v>
      </c>
      <c r="E133" s="20" t="s">
        <v>9754</v>
      </c>
      <c r="F133" s="17" t="s">
        <v>51</v>
      </c>
      <c r="G133" s="19" t="s">
        <v>658</v>
      </c>
      <c r="H133" s="18">
        <v>18.533333333333331</v>
      </c>
      <c r="I133" s="17" t="s">
        <v>68</v>
      </c>
      <c r="J133" s="17" t="s">
        <v>67</v>
      </c>
      <c r="K133" s="17" t="s">
        <v>389</v>
      </c>
      <c r="L133" s="17" t="s">
        <v>3937</v>
      </c>
      <c r="M133" s="16" t="str">
        <f>HYPERLINK("http://slimages.macys.com/is/image/MCY/14619563 ")</f>
        <v xml:space="preserve">http://slimages.macys.com/is/image/MCY/14619563 </v>
      </c>
      <c r="N133" s="30"/>
    </row>
    <row r="134" spans="1:14" ht="60" x14ac:dyDescent="0.25">
      <c r="A134" s="19" t="s">
        <v>9753</v>
      </c>
      <c r="B134" s="17" t="s">
        <v>9752</v>
      </c>
      <c r="C134" s="20">
        <v>1</v>
      </c>
      <c r="D134" s="18">
        <v>99</v>
      </c>
      <c r="E134" s="20" t="s">
        <v>9747</v>
      </c>
      <c r="F134" s="17" t="s">
        <v>58</v>
      </c>
      <c r="G134" s="19" t="s">
        <v>1968</v>
      </c>
      <c r="H134" s="18">
        <v>18.48</v>
      </c>
      <c r="I134" s="17" t="s">
        <v>33</v>
      </c>
      <c r="J134" s="17" t="s">
        <v>404</v>
      </c>
      <c r="K134" s="17"/>
      <c r="L134" s="17"/>
      <c r="M134" s="16" t="str">
        <f>HYPERLINK("http://slimages.macys.com/is/image/MCY/19101011 ")</f>
        <v xml:space="preserve">http://slimages.macys.com/is/image/MCY/19101011 </v>
      </c>
      <c r="N134" s="30"/>
    </row>
    <row r="135" spans="1:14" ht="60" x14ac:dyDescent="0.25">
      <c r="A135" s="19" t="s">
        <v>9751</v>
      </c>
      <c r="B135" s="17" t="s">
        <v>9750</v>
      </c>
      <c r="C135" s="20">
        <v>1</v>
      </c>
      <c r="D135" s="18">
        <v>99</v>
      </c>
      <c r="E135" s="20" t="s">
        <v>9747</v>
      </c>
      <c r="F135" s="17" t="s">
        <v>58</v>
      </c>
      <c r="G135" s="19" t="s">
        <v>4021</v>
      </c>
      <c r="H135" s="18">
        <v>18.48</v>
      </c>
      <c r="I135" s="17" t="s">
        <v>33</v>
      </c>
      <c r="J135" s="17" t="s">
        <v>404</v>
      </c>
      <c r="K135" s="17"/>
      <c r="L135" s="17"/>
      <c r="M135" s="16" t="str">
        <f>HYPERLINK("http://slimages.macys.com/is/image/MCY/19101011 ")</f>
        <v xml:space="preserve">http://slimages.macys.com/is/image/MCY/19101011 </v>
      </c>
      <c r="N135" s="30"/>
    </row>
    <row r="136" spans="1:14" ht="60" x14ac:dyDescent="0.25">
      <c r="A136" s="19" t="s">
        <v>9749</v>
      </c>
      <c r="B136" s="17" t="s">
        <v>9748</v>
      </c>
      <c r="C136" s="20">
        <v>1</v>
      </c>
      <c r="D136" s="18">
        <v>99</v>
      </c>
      <c r="E136" s="20" t="s">
        <v>9747</v>
      </c>
      <c r="F136" s="17" t="s">
        <v>58</v>
      </c>
      <c r="G136" s="19" t="s">
        <v>644</v>
      </c>
      <c r="H136" s="18">
        <v>18.48</v>
      </c>
      <c r="I136" s="17" t="s">
        <v>33</v>
      </c>
      <c r="J136" s="17" t="s">
        <v>404</v>
      </c>
      <c r="K136" s="17"/>
      <c r="L136" s="17"/>
      <c r="M136" s="16" t="str">
        <f>HYPERLINK("http://slimages.macys.com/is/image/MCY/19101011 ")</f>
        <v xml:space="preserve">http://slimages.macys.com/is/image/MCY/19101011 </v>
      </c>
      <c r="N136" s="30"/>
    </row>
    <row r="137" spans="1:14" ht="60" x14ac:dyDescent="0.25">
      <c r="A137" s="19" t="s">
        <v>9746</v>
      </c>
      <c r="B137" s="17" t="s">
        <v>9745</v>
      </c>
      <c r="C137" s="20">
        <v>5</v>
      </c>
      <c r="D137" s="18">
        <v>59.98</v>
      </c>
      <c r="E137" s="20" t="s">
        <v>8634</v>
      </c>
      <c r="F137" s="17" t="s">
        <v>578</v>
      </c>
      <c r="G137" s="19" t="s">
        <v>1155</v>
      </c>
      <c r="H137" s="18">
        <v>18.393333333333334</v>
      </c>
      <c r="I137" s="17" t="s">
        <v>33</v>
      </c>
      <c r="J137" s="17" t="s">
        <v>32</v>
      </c>
      <c r="K137" s="17" t="s">
        <v>389</v>
      </c>
      <c r="L137" s="17" t="s">
        <v>5612</v>
      </c>
      <c r="M137" s="16" t="str">
        <f>HYPERLINK("http://slimages.macys.com/is/image/MCY/9958573 ")</f>
        <v xml:space="preserve">http://slimages.macys.com/is/image/MCY/9958573 </v>
      </c>
      <c r="N137" s="30"/>
    </row>
    <row r="138" spans="1:14" ht="60" x14ac:dyDescent="0.25">
      <c r="A138" s="19" t="s">
        <v>9744</v>
      </c>
      <c r="B138" s="17" t="s">
        <v>9743</v>
      </c>
      <c r="C138" s="20">
        <v>1</v>
      </c>
      <c r="D138" s="18">
        <v>89</v>
      </c>
      <c r="E138" s="20">
        <v>10758376</v>
      </c>
      <c r="F138" s="17" t="s">
        <v>44</v>
      </c>
      <c r="G138" s="19" t="s">
        <v>749</v>
      </c>
      <c r="H138" s="18">
        <v>18.393333333333334</v>
      </c>
      <c r="I138" s="17" t="s">
        <v>144</v>
      </c>
      <c r="J138" s="17" t="s">
        <v>143</v>
      </c>
      <c r="K138" s="17"/>
      <c r="L138" s="17"/>
      <c r="M138" s="16" t="str">
        <f>HYPERLINK("http://slimages.macys.com/is/image/MCY/18302119 ")</f>
        <v xml:space="preserve">http://slimages.macys.com/is/image/MCY/18302119 </v>
      </c>
      <c r="N138" s="30"/>
    </row>
    <row r="139" spans="1:14" ht="60" x14ac:dyDescent="0.25">
      <c r="A139" s="19" t="s">
        <v>9742</v>
      </c>
      <c r="B139" s="17" t="s">
        <v>9741</v>
      </c>
      <c r="C139" s="20">
        <v>1</v>
      </c>
      <c r="D139" s="18">
        <v>89</v>
      </c>
      <c r="E139" s="20">
        <v>10752222</v>
      </c>
      <c r="F139" s="17" t="s">
        <v>578</v>
      </c>
      <c r="G139" s="19" t="s">
        <v>139</v>
      </c>
      <c r="H139" s="18">
        <v>18.393333333333334</v>
      </c>
      <c r="I139" s="17" t="s">
        <v>1307</v>
      </c>
      <c r="J139" s="17" t="s">
        <v>1306</v>
      </c>
      <c r="K139" s="17" t="s">
        <v>389</v>
      </c>
      <c r="L139" s="17" t="s">
        <v>1359</v>
      </c>
      <c r="M139" s="16" t="str">
        <f>HYPERLINK("http://slimages.macys.com/is/image/MCY/15910508 ")</f>
        <v xml:space="preserve">http://slimages.macys.com/is/image/MCY/15910508 </v>
      </c>
      <c r="N139" s="30"/>
    </row>
    <row r="140" spans="1:14" ht="60" x14ac:dyDescent="0.25">
      <c r="A140" s="19" t="s">
        <v>9740</v>
      </c>
      <c r="B140" s="17" t="s">
        <v>9739</v>
      </c>
      <c r="C140" s="20">
        <v>1</v>
      </c>
      <c r="D140" s="18">
        <v>89</v>
      </c>
      <c r="E140" s="20">
        <v>10745176</v>
      </c>
      <c r="F140" s="17" t="s">
        <v>51</v>
      </c>
      <c r="G140" s="19" t="s">
        <v>898</v>
      </c>
      <c r="H140" s="18">
        <v>18.393333333333334</v>
      </c>
      <c r="I140" s="17" t="s">
        <v>120</v>
      </c>
      <c r="J140" s="17" t="s">
        <v>119</v>
      </c>
      <c r="K140" s="17" t="s">
        <v>389</v>
      </c>
      <c r="L140" s="17" t="s">
        <v>662</v>
      </c>
      <c r="M140" s="16" t="str">
        <f>HYPERLINK("http://slimages.macys.com/is/image/MCY/16151088 ")</f>
        <v xml:space="preserve">http://slimages.macys.com/is/image/MCY/16151088 </v>
      </c>
      <c r="N140" s="30"/>
    </row>
    <row r="141" spans="1:14" ht="60" x14ac:dyDescent="0.25">
      <c r="A141" s="19" t="s">
        <v>9738</v>
      </c>
      <c r="B141" s="17" t="s">
        <v>9737</v>
      </c>
      <c r="C141" s="20">
        <v>2</v>
      </c>
      <c r="D141" s="18">
        <v>99</v>
      </c>
      <c r="E141" s="20" t="s">
        <v>9736</v>
      </c>
      <c r="F141" s="17" t="s">
        <v>58</v>
      </c>
      <c r="G141" s="19" t="s">
        <v>197</v>
      </c>
      <c r="H141" s="18">
        <v>18.28</v>
      </c>
      <c r="I141" s="17" t="s">
        <v>405</v>
      </c>
      <c r="J141" s="17" t="s">
        <v>404</v>
      </c>
      <c r="K141" s="17" t="s">
        <v>1945</v>
      </c>
      <c r="L141" s="17" t="s">
        <v>6011</v>
      </c>
      <c r="M141" s="16" t="str">
        <f>HYPERLINK("http://images.bloomingdales.com/is/image/BLM/11438221 ")</f>
        <v xml:space="preserve">http://images.bloomingdales.com/is/image/BLM/11438221 </v>
      </c>
      <c r="N141" s="30"/>
    </row>
    <row r="142" spans="1:14" ht="60" x14ac:dyDescent="0.25">
      <c r="A142" s="19" t="s">
        <v>9735</v>
      </c>
      <c r="B142" s="17" t="s">
        <v>9734</v>
      </c>
      <c r="C142" s="20">
        <v>1</v>
      </c>
      <c r="D142" s="18">
        <v>99</v>
      </c>
      <c r="E142" s="20" t="s">
        <v>2038</v>
      </c>
      <c r="F142" s="17" t="s">
        <v>51</v>
      </c>
      <c r="G142" s="19" t="s">
        <v>57</v>
      </c>
      <c r="H142" s="18">
        <v>18.28</v>
      </c>
      <c r="I142" s="17" t="s">
        <v>405</v>
      </c>
      <c r="J142" s="17" t="s">
        <v>404</v>
      </c>
      <c r="K142" s="17"/>
      <c r="L142" s="17"/>
      <c r="M142" s="16" t="str">
        <f>HYPERLINK("http://slimages.macys.com/is/image/MCY/18223784 ")</f>
        <v xml:space="preserve">http://slimages.macys.com/is/image/MCY/18223784 </v>
      </c>
      <c r="N142" s="30"/>
    </row>
    <row r="143" spans="1:14" ht="60" x14ac:dyDescent="0.25">
      <c r="A143" s="19" t="s">
        <v>9733</v>
      </c>
      <c r="B143" s="17" t="s">
        <v>9732</v>
      </c>
      <c r="C143" s="20">
        <v>1</v>
      </c>
      <c r="D143" s="18">
        <v>99</v>
      </c>
      <c r="E143" s="20" t="s">
        <v>9731</v>
      </c>
      <c r="F143" s="17" t="s">
        <v>140</v>
      </c>
      <c r="G143" s="19" t="s">
        <v>197</v>
      </c>
      <c r="H143" s="18">
        <v>18.28</v>
      </c>
      <c r="I143" s="17" t="s">
        <v>405</v>
      </c>
      <c r="J143" s="17" t="s">
        <v>404</v>
      </c>
      <c r="K143" s="17"/>
      <c r="L143" s="17"/>
      <c r="M143" s="16" t="str">
        <f>HYPERLINK("http://slimages.macys.com/is/image/MCY/17892219 ")</f>
        <v xml:space="preserve">http://slimages.macys.com/is/image/MCY/17892219 </v>
      </c>
      <c r="N143" s="30"/>
    </row>
    <row r="144" spans="1:14" ht="60" x14ac:dyDescent="0.25">
      <c r="A144" s="19" t="s">
        <v>9730</v>
      </c>
      <c r="B144" s="17" t="s">
        <v>9729</v>
      </c>
      <c r="C144" s="20">
        <v>1</v>
      </c>
      <c r="D144" s="18">
        <v>109</v>
      </c>
      <c r="E144" s="20">
        <v>8120941</v>
      </c>
      <c r="F144" s="17"/>
      <c r="G144" s="19" t="s">
        <v>22</v>
      </c>
      <c r="H144" s="18">
        <v>18.166666666666668</v>
      </c>
      <c r="I144" s="17" t="s">
        <v>129</v>
      </c>
      <c r="J144" s="17" t="s">
        <v>128</v>
      </c>
      <c r="K144" s="17"/>
      <c r="L144" s="17"/>
      <c r="M144" s="16" t="str">
        <f>HYPERLINK("http://slimages.macys.com/is/image/MCY/18768910 ")</f>
        <v xml:space="preserve">http://slimages.macys.com/is/image/MCY/18768910 </v>
      </c>
      <c r="N144" s="30"/>
    </row>
    <row r="145" spans="1:14" ht="60" x14ac:dyDescent="0.25">
      <c r="A145" s="19" t="s">
        <v>9728</v>
      </c>
      <c r="B145" s="17" t="s">
        <v>9727</v>
      </c>
      <c r="C145" s="20">
        <v>1</v>
      </c>
      <c r="D145" s="18">
        <v>89.5</v>
      </c>
      <c r="E145" s="20" t="s">
        <v>5162</v>
      </c>
      <c r="F145" s="17" t="s">
        <v>23</v>
      </c>
      <c r="G145" s="19" t="s">
        <v>698</v>
      </c>
      <c r="H145" s="18">
        <v>18.033333333333335</v>
      </c>
      <c r="I145" s="17" t="s">
        <v>106</v>
      </c>
      <c r="J145" s="17" t="s">
        <v>105</v>
      </c>
      <c r="K145" s="17"/>
      <c r="L145" s="17"/>
      <c r="M145" s="16" t="str">
        <f>HYPERLINK("http://slimages.macys.com/is/image/MCY/19387364 ")</f>
        <v xml:space="preserve">http://slimages.macys.com/is/image/MCY/19387364 </v>
      </c>
      <c r="N145" s="30"/>
    </row>
    <row r="146" spans="1:14" ht="60" x14ac:dyDescent="0.25">
      <c r="A146" s="19" t="s">
        <v>9726</v>
      </c>
      <c r="B146" s="17" t="s">
        <v>9725</v>
      </c>
      <c r="C146" s="20">
        <v>1</v>
      </c>
      <c r="D146" s="18">
        <v>89.5</v>
      </c>
      <c r="E146" s="20" t="s">
        <v>9724</v>
      </c>
      <c r="F146" s="17" t="s">
        <v>514</v>
      </c>
      <c r="G146" s="19" t="s">
        <v>74</v>
      </c>
      <c r="H146" s="18">
        <v>18.033333333333335</v>
      </c>
      <c r="I146" s="17" t="s">
        <v>106</v>
      </c>
      <c r="J146" s="17" t="s">
        <v>105</v>
      </c>
      <c r="K146" s="17"/>
      <c r="L146" s="17"/>
      <c r="M146" s="16" t="str">
        <f>HYPERLINK("http://slimages.macys.com/is/image/MCY/18649991 ")</f>
        <v xml:space="preserve">http://slimages.macys.com/is/image/MCY/18649991 </v>
      </c>
      <c r="N146" s="30"/>
    </row>
    <row r="147" spans="1:14" ht="60" x14ac:dyDescent="0.25">
      <c r="A147" s="19" t="s">
        <v>8633</v>
      </c>
      <c r="B147" s="17" t="s">
        <v>8632</v>
      </c>
      <c r="C147" s="20">
        <v>1</v>
      </c>
      <c r="D147" s="18">
        <v>89.5</v>
      </c>
      <c r="E147" s="20" t="s">
        <v>5162</v>
      </c>
      <c r="F147" s="17" t="s">
        <v>51</v>
      </c>
      <c r="G147" s="19" t="s">
        <v>116</v>
      </c>
      <c r="H147" s="18">
        <v>18.033333333333335</v>
      </c>
      <c r="I147" s="17" t="s">
        <v>106</v>
      </c>
      <c r="J147" s="17" t="s">
        <v>105</v>
      </c>
      <c r="K147" s="17"/>
      <c r="L147" s="17"/>
      <c r="M147" s="16" t="str">
        <f>HYPERLINK("http://slimages.macys.com/is/image/MCY/19387364 ")</f>
        <v xml:space="preserve">http://slimages.macys.com/is/image/MCY/19387364 </v>
      </c>
      <c r="N147" s="30"/>
    </row>
    <row r="148" spans="1:14" ht="60" x14ac:dyDescent="0.25">
      <c r="A148" s="19" t="s">
        <v>9723</v>
      </c>
      <c r="B148" s="17" t="s">
        <v>9722</v>
      </c>
      <c r="C148" s="20">
        <v>1</v>
      </c>
      <c r="D148" s="18">
        <v>89.5</v>
      </c>
      <c r="E148" s="20" t="s">
        <v>9721</v>
      </c>
      <c r="F148" s="17" t="s">
        <v>51</v>
      </c>
      <c r="G148" s="19" t="s">
        <v>197</v>
      </c>
      <c r="H148" s="18">
        <v>18.033333333333335</v>
      </c>
      <c r="I148" s="17" t="s">
        <v>106</v>
      </c>
      <c r="J148" s="17" t="s">
        <v>105</v>
      </c>
      <c r="K148" s="17"/>
      <c r="L148" s="17"/>
      <c r="M148" s="16" t="str">
        <f>HYPERLINK("http://slimages.macys.com/is/image/MCY/19387316 ")</f>
        <v xml:space="preserve">http://slimages.macys.com/is/image/MCY/19387316 </v>
      </c>
      <c r="N148" s="30"/>
    </row>
    <row r="149" spans="1:14" ht="96" x14ac:dyDescent="0.25">
      <c r="A149" s="19" t="s">
        <v>8629</v>
      </c>
      <c r="B149" s="17" t="s">
        <v>8628</v>
      </c>
      <c r="C149" s="20">
        <v>1</v>
      </c>
      <c r="D149" s="18">
        <v>81.75</v>
      </c>
      <c r="E149" s="20" t="s">
        <v>8627</v>
      </c>
      <c r="F149" s="17" t="s">
        <v>51</v>
      </c>
      <c r="G149" s="19" t="s">
        <v>1292</v>
      </c>
      <c r="H149" s="18">
        <v>17.846666666666668</v>
      </c>
      <c r="I149" s="17" t="s">
        <v>358</v>
      </c>
      <c r="J149" s="17" t="s">
        <v>32</v>
      </c>
      <c r="K149" s="17" t="s">
        <v>389</v>
      </c>
      <c r="L149" s="17" t="s">
        <v>8626</v>
      </c>
      <c r="M149" s="16" t="str">
        <f>HYPERLINK("http://slimages.macys.com/is/image/MCY/15001677 ")</f>
        <v xml:space="preserve">http://slimages.macys.com/is/image/MCY/15001677 </v>
      </c>
      <c r="N149" s="30"/>
    </row>
    <row r="150" spans="1:14" ht="60" x14ac:dyDescent="0.25">
      <c r="A150" s="19" t="s">
        <v>9720</v>
      </c>
      <c r="B150" s="17" t="s">
        <v>9719</v>
      </c>
      <c r="C150" s="20">
        <v>2</v>
      </c>
      <c r="D150" s="18">
        <v>89</v>
      </c>
      <c r="E150" s="20">
        <v>10797810</v>
      </c>
      <c r="F150" s="17" t="s">
        <v>149</v>
      </c>
      <c r="G150" s="19" t="s">
        <v>351</v>
      </c>
      <c r="H150" s="18">
        <v>17.8</v>
      </c>
      <c r="I150" s="17" t="s">
        <v>358</v>
      </c>
      <c r="J150" s="17" t="s">
        <v>554</v>
      </c>
      <c r="K150" s="17"/>
      <c r="L150" s="17"/>
      <c r="M150" s="16" t="str">
        <f>HYPERLINK("http://slimages.macys.com/is/image/MCY/18520590 ")</f>
        <v xml:space="preserve">http://slimages.macys.com/is/image/MCY/18520590 </v>
      </c>
      <c r="N150" s="30"/>
    </row>
    <row r="151" spans="1:14" ht="60" x14ac:dyDescent="0.25">
      <c r="A151" s="19" t="s">
        <v>8616</v>
      </c>
      <c r="B151" s="17" t="s">
        <v>8615</v>
      </c>
      <c r="C151" s="20">
        <v>1</v>
      </c>
      <c r="D151" s="18">
        <v>89</v>
      </c>
      <c r="E151" s="20">
        <v>10762374</v>
      </c>
      <c r="F151" s="17" t="s">
        <v>28</v>
      </c>
      <c r="G151" s="19" t="s">
        <v>880</v>
      </c>
      <c r="H151" s="18">
        <v>17.8</v>
      </c>
      <c r="I151" s="17" t="s">
        <v>358</v>
      </c>
      <c r="J151" s="17" t="s">
        <v>554</v>
      </c>
      <c r="K151" s="17"/>
      <c r="L151" s="17"/>
      <c r="M151" s="16" t="str">
        <f>HYPERLINK("http://slimages.macys.com/is/image/MCY/16878403 ")</f>
        <v xml:space="preserve">http://slimages.macys.com/is/image/MCY/16878403 </v>
      </c>
      <c r="N151" s="30"/>
    </row>
    <row r="152" spans="1:14" ht="60" x14ac:dyDescent="0.25">
      <c r="A152" s="19" t="s">
        <v>6733</v>
      </c>
      <c r="B152" s="17" t="s">
        <v>6732</v>
      </c>
      <c r="C152" s="20">
        <v>1</v>
      </c>
      <c r="D152" s="18">
        <v>89</v>
      </c>
      <c r="E152" s="20">
        <v>10804602</v>
      </c>
      <c r="F152" s="17" t="s">
        <v>282</v>
      </c>
      <c r="G152" s="19" t="s">
        <v>271</v>
      </c>
      <c r="H152" s="18">
        <v>17.8</v>
      </c>
      <c r="I152" s="17" t="s">
        <v>358</v>
      </c>
      <c r="J152" s="17" t="s">
        <v>554</v>
      </c>
      <c r="K152" s="17"/>
      <c r="L152" s="17"/>
      <c r="M152" s="16" t="str">
        <f>HYPERLINK("http://slimages.macys.com/is/image/MCY/18874161 ")</f>
        <v xml:space="preserve">http://slimages.macys.com/is/image/MCY/18874161 </v>
      </c>
      <c r="N152" s="30"/>
    </row>
    <row r="153" spans="1:14" ht="60" x14ac:dyDescent="0.25">
      <c r="A153" s="19" t="s">
        <v>8620</v>
      </c>
      <c r="B153" s="17" t="s">
        <v>8619</v>
      </c>
      <c r="C153" s="20">
        <v>1</v>
      </c>
      <c r="D153" s="18">
        <v>89</v>
      </c>
      <c r="E153" s="20">
        <v>10804602</v>
      </c>
      <c r="F153" s="17" t="s">
        <v>282</v>
      </c>
      <c r="G153" s="19" t="s">
        <v>351</v>
      </c>
      <c r="H153" s="18">
        <v>17.8</v>
      </c>
      <c r="I153" s="17" t="s">
        <v>358</v>
      </c>
      <c r="J153" s="17" t="s">
        <v>554</v>
      </c>
      <c r="K153" s="17"/>
      <c r="L153" s="17"/>
      <c r="M153" s="16" t="str">
        <f>HYPERLINK("http://slimages.macys.com/is/image/MCY/18874161 ")</f>
        <v xml:space="preserve">http://slimages.macys.com/is/image/MCY/18874161 </v>
      </c>
      <c r="N153" s="30"/>
    </row>
    <row r="154" spans="1:14" ht="60" x14ac:dyDescent="0.25">
      <c r="A154" s="19" t="s">
        <v>9718</v>
      </c>
      <c r="B154" s="17" t="s">
        <v>9717</v>
      </c>
      <c r="C154" s="20">
        <v>3</v>
      </c>
      <c r="D154" s="18">
        <v>89</v>
      </c>
      <c r="E154" s="20">
        <v>10770864</v>
      </c>
      <c r="F154" s="17" t="s">
        <v>558</v>
      </c>
      <c r="G154" s="19" t="s">
        <v>658</v>
      </c>
      <c r="H154" s="18">
        <v>17.8</v>
      </c>
      <c r="I154" s="17" t="s">
        <v>115</v>
      </c>
      <c r="J154" s="17" t="s">
        <v>1265</v>
      </c>
      <c r="K154" s="17"/>
      <c r="L154" s="17"/>
      <c r="M154" s="16" t="str">
        <f>HYPERLINK("http://slimages.macys.com/is/image/MCY/16893094 ")</f>
        <v xml:space="preserve">http://slimages.macys.com/is/image/MCY/16893094 </v>
      </c>
      <c r="N154" s="30"/>
    </row>
    <row r="155" spans="1:14" ht="60" x14ac:dyDescent="0.25">
      <c r="A155" s="19" t="s">
        <v>9716</v>
      </c>
      <c r="B155" s="17" t="s">
        <v>9715</v>
      </c>
      <c r="C155" s="20">
        <v>1</v>
      </c>
      <c r="D155" s="18">
        <v>89</v>
      </c>
      <c r="E155" s="20" t="s">
        <v>8610</v>
      </c>
      <c r="F155" s="17" t="s">
        <v>91</v>
      </c>
      <c r="G155" s="19" t="s">
        <v>898</v>
      </c>
      <c r="H155" s="18">
        <v>17.8</v>
      </c>
      <c r="I155" s="17" t="s">
        <v>144</v>
      </c>
      <c r="J155" s="17" t="s">
        <v>496</v>
      </c>
      <c r="K155" s="17"/>
      <c r="L155" s="17"/>
      <c r="M155" s="16" t="str">
        <f>HYPERLINK("http://slimages.macys.com/is/image/MCY/18849612 ")</f>
        <v xml:space="preserve">http://slimages.macys.com/is/image/MCY/18849612 </v>
      </c>
      <c r="N155" s="30"/>
    </row>
    <row r="156" spans="1:14" ht="60" x14ac:dyDescent="0.25">
      <c r="A156" s="19" t="s">
        <v>9714</v>
      </c>
      <c r="B156" s="17" t="s">
        <v>9713</v>
      </c>
      <c r="C156" s="20">
        <v>1</v>
      </c>
      <c r="D156" s="18">
        <v>80</v>
      </c>
      <c r="E156" s="20" t="s">
        <v>8603</v>
      </c>
      <c r="F156" s="17" t="s">
        <v>91</v>
      </c>
      <c r="G156" s="19" t="s">
        <v>57</v>
      </c>
      <c r="H156" s="18">
        <v>17.600000000000001</v>
      </c>
      <c r="I156" s="17" t="s">
        <v>158</v>
      </c>
      <c r="J156" s="17" t="s">
        <v>3005</v>
      </c>
      <c r="K156" s="17" t="s">
        <v>637</v>
      </c>
      <c r="L156" s="17" t="s">
        <v>1724</v>
      </c>
      <c r="M156" s="16" t="str">
        <f>HYPERLINK("http://images.bloomingdales.com/is/image/BLM/11285300 ")</f>
        <v xml:space="preserve">http://images.bloomingdales.com/is/image/BLM/11285300 </v>
      </c>
      <c r="N156" s="30"/>
    </row>
    <row r="157" spans="1:14" ht="60" x14ac:dyDescent="0.25">
      <c r="A157" s="19" t="s">
        <v>8600</v>
      </c>
      <c r="B157" s="17" t="s">
        <v>8599</v>
      </c>
      <c r="C157" s="20">
        <v>1</v>
      </c>
      <c r="D157" s="18">
        <v>79</v>
      </c>
      <c r="E157" s="20" t="s">
        <v>5905</v>
      </c>
      <c r="F157" s="17" t="s">
        <v>91</v>
      </c>
      <c r="G157" s="19" t="s">
        <v>50</v>
      </c>
      <c r="H157" s="18">
        <v>17.433333333333337</v>
      </c>
      <c r="I157" s="17" t="s">
        <v>49</v>
      </c>
      <c r="J157" s="17" t="s">
        <v>48</v>
      </c>
      <c r="K157" s="17"/>
      <c r="L157" s="17"/>
      <c r="M157" s="16" t="str">
        <f>HYPERLINK("http://slimages.macys.com/is/image/MCY/19445383 ")</f>
        <v xml:space="preserve">http://slimages.macys.com/is/image/MCY/19445383 </v>
      </c>
      <c r="N157" s="30"/>
    </row>
    <row r="158" spans="1:14" ht="60" x14ac:dyDescent="0.25">
      <c r="A158" s="19" t="s">
        <v>9712</v>
      </c>
      <c r="B158" s="17" t="s">
        <v>9711</v>
      </c>
      <c r="C158" s="20">
        <v>2</v>
      </c>
      <c r="D158" s="18">
        <v>79</v>
      </c>
      <c r="E158" s="20" t="s">
        <v>6711</v>
      </c>
      <c r="F158" s="17" t="s">
        <v>345</v>
      </c>
      <c r="G158" s="19" t="s">
        <v>101</v>
      </c>
      <c r="H158" s="18">
        <v>17.433333333333337</v>
      </c>
      <c r="I158" s="17" t="s">
        <v>49</v>
      </c>
      <c r="J158" s="17" t="s">
        <v>48</v>
      </c>
      <c r="K158" s="17"/>
      <c r="L158" s="17"/>
      <c r="M158" s="16" t="str">
        <f>HYPERLINK("http://slimages.macys.com/is/image/MCY/18534696 ")</f>
        <v xml:space="preserve">http://slimages.macys.com/is/image/MCY/18534696 </v>
      </c>
      <c r="N158" s="30"/>
    </row>
    <row r="159" spans="1:14" ht="60" x14ac:dyDescent="0.25">
      <c r="A159" s="19" t="s">
        <v>3849</v>
      </c>
      <c r="B159" s="17" t="s">
        <v>3848</v>
      </c>
      <c r="C159" s="20">
        <v>1</v>
      </c>
      <c r="D159" s="18">
        <v>79</v>
      </c>
      <c r="E159" s="20" t="s">
        <v>2834</v>
      </c>
      <c r="F159" s="17" t="s">
        <v>345</v>
      </c>
      <c r="G159" s="19" t="s">
        <v>22</v>
      </c>
      <c r="H159" s="18">
        <v>17.433333333333337</v>
      </c>
      <c r="I159" s="17" t="s">
        <v>49</v>
      </c>
      <c r="J159" s="17" t="s">
        <v>48</v>
      </c>
      <c r="K159" s="17"/>
      <c r="L159" s="17"/>
      <c r="M159" s="16" t="str">
        <f>HYPERLINK("http://slimages.macys.com/is/image/MCY/19136704 ")</f>
        <v xml:space="preserve">http://slimages.macys.com/is/image/MCY/19136704 </v>
      </c>
      <c r="N159" s="30"/>
    </row>
    <row r="160" spans="1:14" ht="60" x14ac:dyDescent="0.25">
      <c r="A160" s="19" t="s">
        <v>9710</v>
      </c>
      <c r="B160" s="17" t="s">
        <v>9709</v>
      </c>
      <c r="C160" s="20">
        <v>1</v>
      </c>
      <c r="D160" s="18">
        <v>79</v>
      </c>
      <c r="E160" s="20" t="s">
        <v>6711</v>
      </c>
      <c r="F160" s="17" t="s">
        <v>345</v>
      </c>
      <c r="G160" s="19" t="s">
        <v>62</v>
      </c>
      <c r="H160" s="18">
        <v>17.433333333333337</v>
      </c>
      <c r="I160" s="17" t="s">
        <v>49</v>
      </c>
      <c r="J160" s="17" t="s">
        <v>48</v>
      </c>
      <c r="K160" s="17"/>
      <c r="L160" s="17"/>
      <c r="M160" s="16" t="str">
        <f>HYPERLINK("http://slimages.macys.com/is/image/MCY/18534696 ")</f>
        <v xml:space="preserve">http://slimages.macys.com/is/image/MCY/18534696 </v>
      </c>
      <c r="N160" s="30"/>
    </row>
    <row r="161" spans="1:14" ht="144" x14ac:dyDescent="0.25">
      <c r="A161" s="19" t="s">
        <v>9708</v>
      </c>
      <c r="B161" s="17" t="s">
        <v>9707</v>
      </c>
      <c r="C161" s="20">
        <v>1</v>
      </c>
      <c r="D161" s="18">
        <v>69.5</v>
      </c>
      <c r="E161" s="20" t="s">
        <v>9706</v>
      </c>
      <c r="F161" s="17" t="s">
        <v>51</v>
      </c>
      <c r="G161" s="19"/>
      <c r="H161" s="18">
        <v>17.286666666666669</v>
      </c>
      <c r="I161" s="17" t="s">
        <v>80</v>
      </c>
      <c r="J161" s="17" t="s">
        <v>9705</v>
      </c>
      <c r="K161" s="17" t="s">
        <v>389</v>
      </c>
      <c r="L161" s="17" t="s">
        <v>9704</v>
      </c>
      <c r="M161" s="16" t="str">
        <f>HYPERLINK("http://slimages.macys.com/is/image/MCY/14785796 ")</f>
        <v xml:space="preserve">http://slimages.macys.com/is/image/MCY/14785796 </v>
      </c>
      <c r="N161" s="30"/>
    </row>
    <row r="162" spans="1:14" ht="60" x14ac:dyDescent="0.25">
      <c r="A162" s="19" t="s">
        <v>9703</v>
      </c>
      <c r="B162" s="17" t="s">
        <v>9702</v>
      </c>
      <c r="C162" s="20">
        <v>1</v>
      </c>
      <c r="D162" s="18">
        <v>69.5</v>
      </c>
      <c r="E162" s="20">
        <v>200672214006</v>
      </c>
      <c r="F162" s="17" t="s">
        <v>23</v>
      </c>
      <c r="G162" s="19" t="s">
        <v>27</v>
      </c>
      <c r="H162" s="18">
        <v>17.146666666666668</v>
      </c>
      <c r="I162" s="17" t="s">
        <v>3839</v>
      </c>
      <c r="J162" s="17" t="s">
        <v>3838</v>
      </c>
      <c r="K162" s="17" t="s">
        <v>389</v>
      </c>
      <c r="L162" s="17" t="s">
        <v>1804</v>
      </c>
      <c r="M162" s="16" t="str">
        <f>HYPERLINK("http://slimages.macys.com/is/image/MCY/8793030 ")</f>
        <v xml:space="preserve">http://slimages.macys.com/is/image/MCY/8793030 </v>
      </c>
      <c r="N162" s="30"/>
    </row>
    <row r="163" spans="1:14" ht="60" x14ac:dyDescent="0.25">
      <c r="A163" s="19" t="s">
        <v>9701</v>
      </c>
      <c r="B163" s="17" t="s">
        <v>9700</v>
      </c>
      <c r="C163" s="20">
        <v>1</v>
      </c>
      <c r="D163" s="18">
        <v>89.5</v>
      </c>
      <c r="E163" s="20" t="s">
        <v>5897</v>
      </c>
      <c r="F163" s="17" t="s">
        <v>433</v>
      </c>
      <c r="G163" s="19" t="s">
        <v>880</v>
      </c>
      <c r="H163" s="18">
        <v>17.006666666666668</v>
      </c>
      <c r="I163" s="17" t="s">
        <v>540</v>
      </c>
      <c r="J163" s="17" t="s">
        <v>105</v>
      </c>
      <c r="K163" s="17"/>
      <c r="L163" s="17"/>
      <c r="M163" s="16" t="str">
        <f>HYPERLINK("http://slimages.macys.com/is/image/MCY/18438641 ")</f>
        <v xml:space="preserve">http://slimages.macys.com/is/image/MCY/18438641 </v>
      </c>
      <c r="N163" s="30"/>
    </row>
    <row r="164" spans="1:14" ht="60" x14ac:dyDescent="0.25">
      <c r="A164" s="19" t="s">
        <v>9699</v>
      </c>
      <c r="B164" s="17" t="s">
        <v>9698</v>
      </c>
      <c r="C164" s="20">
        <v>1</v>
      </c>
      <c r="D164" s="18">
        <v>89.5</v>
      </c>
      <c r="E164" s="20" t="s">
        <v>5889</v>
      </c>
      <c r="F164" s="17" t="s">
        <v>23</v>
      </c>
      <c r="G164" s="19" t="s">
        <v>351</v>
      </c>
      <c r="H164" s="18">
        <v>16.853333333333335</v>
      </c>
      <c r="I164" s="17" t="s">
        <v>1891</v>
      </c>
      <c r="J164" s="17" t="s">
        <v>67</v>
      </c>
      <c r="K164" s="17"/>
      <c r="L164" s="17"/>
      <c r="M164" s="16" t="str">
        <f>HYPERLINK("http://slimages.macys.com/is/image/MCY/18733681 ")</f>
        <v xml:space="preserve">http://slimages.macys.com/is/image/MCY/18733681 </v>
      </c>
      <c r="N164" s="30"/>
    </row>
    <row r="165" spans="1:14" ht="60" x14ac:dyDescent="0.25">
      <c r="A165" s="19" t="s">
        <v>6685</v>
      </c>
      <c r="B165" s="17" t="s">
        <v>6684</v>
      </c>
      <c r="C165" s="20">
        <v>1</v>
      </c>
      <c r="D165" s="18">
        <v>89.5</v>
      </c>
      <c r="E165" s="20" t="s">
        <v>5889</v>
      </c>
      <c r="F165" s="17" t="s">
        <v>23</v>
      </c>
      <c r="G165" s="19" t="s">
        <v>139</v>
      </c>
      <c r="H165" s="18">
        <v>16.853333333333335</v>
      </c>
      <c r="I165" s="17" t="s">
        <v>1891</v>
      </c>
      <c r="J165" s="17" t="s">
        <v>67</v>
      </c>
      <c r="K165" s="17"/>
      <c r="L165" s="17"/>
      <c r="M165" s="16" t="str">
        <f>HYPERLINK("http://slimages.macys.com/is/image/MCY/18733681 ")</f>
        <v xml:space="preserve">http://slimages.macys.com/is/image/MCY/18733681 </v>
      </c>
      <c r="N165" s="30"/>
    </row>
    <row r="166" spans="1:14" ht="60" x14ac:dyDescent="0.25">
      <c r="A166" s="19" t="s">
        <v>9697</v>
      </c>
      <c r="B166" s="17" t="s">
        <v>9696</v>
      </c>
      <c r="C166" s="20">
        <v>1</v>
      </c>
      <c r="D166" s="18">
        <v>69</v>
      </c>
      <c r="E166" s="20" t="s">
        <v>9695</v>
      </c>
      <c r="F166" s="17" t="s">
        <v>508</v>
      </c>
      <c r="G166" s="19" t="s">
        <v>658</v>
      </c>
      <c r="H166" s="18">
        <v>16.853333333333335</v>
      </c>
      <c r="I166" s="17" t="s">
        <v>1363</v>
      </c>
      <c r="J166" s="17" t="s">
        <v>1362</v>
      </c>
      <c r="K166" s="17"/>
      <c r="L166" s="17"/>
      <c r="M166" s="16" t="str">
        <f>HYPERLINK("http://slimages.macys.com/is/image/MCY/18916753 ")</f>
        <v xml:space="preserve">http://slimages.macys.com/is/image/MCY/18916753 </v>
      </c>
      <c r="N166" s="30"/>
    </row>
    <row r="167" spans="1:14" ht="60" x14ac:dyDescent="0.25">
      <c r="A167" s="19" t="s">
        <v>9694</v>
      </c>
      <c r="B167" s="17" t="s">
        <v>9693</v>
      </c>
      <c r="C167" s="20">
        <v>1</v>
      </c>
      <c r="D167" s="18">
        <v>79</v>
      </c>
      <c r="E167" s="20">
        <v>7020016</v>
      </c>
      <c r="F167" s="17" t="s">
        <v>91</v>
      </c>
      <c r="G167" s="19" t="s">
        <v>17</v>
      </c>
      <c r="H167" s="18">
        <v>16.853333333333335</v>
      </c>
      <c r="I167" s="17" t="s">
        <v>111</v>
      </c>
      <c r="J167" s="17" t="s">
        <v>110</v>
      </c>
      <c r="K167" s="17" t="s">
        <v>389</v>
      </c>
      <c r="L167" s="17" t="s">
        <v>662</v>
      </c>
      <c r="M167" s="16" t="str">
        <f>HYPERLINK("http://slimages.macys.com/is/image/MCY/16385828 ")</f>
        <v xml:space="preserve">http://slimages.macys.com/is/image/MCY/16385828 </v>
      </c>
      <c r="N167" s="30"/>
    </row>
    <row r="168" spans="1:14" ht="60" x14ac:dyDescent="0.25">
      <c r="A168" s="19" t="s">
        <v>6695</v>
      </c>
      <c r="B168" s="17" t="s">
        <v>6694</v>
      </c>
      <c r="C168" s="20">
        <v>1</v>
      </c>
      <c r="D168" s="18">
        <v>89.5</v>
      </c>
      <c r="E168" s="20" t="s">
        <v>5889</v>
      </c>
      <c r="F168" s="17" t="s">
        <v>263</v>
      </c>
      <c r="G168" s="19"/>
      <c r="H168" s="18">
        <v>16.853333333333335</v>
      </c>
      <c r="I168" s="17" t="s">
        <v>1891</v>
      </c>
      <c r="J168" s="17" t="s">
        <v>67</v>
      </c>
      <c r="K168" s="17"/>
      <c r="L168" s="17"/>
      <c r="M168" s="16" t="str">
        <f>HYPERLINK("http://slimages.macys.com/is/image/MCY/18733681 ")</f>
        <v xml:space="preserve">http://slimages.macys.com/is/image/MCY/18733681 </v>
      </c>
      <c r="N168" s="30"/>
    </row>
    <row r="169" spans="1:14" ht="60" x14ac:dyDescent="0.25">
      <c r="A169" s="19" t="s">
        <v>9692</v>
      </c>
      <c r="B169" s="17" t="s">
        <v>9691</v>
      </c>
      <c r="C169" s="20">
        <v>1</v>
      </c>
      <c r="D169" s="18">
        <v>66.75</v>
      </c>
      <c r="E169" s="20">
        <v>10543036</v>
      </c>
      <c r="F169" s="17" t="s">
        <v>508</v>
      </c>
      <c r="G169" s="19" t="s">
        <v>1191</v>
      </c>
      <c r="H169" s="18">
        <v>16.82</v>
      </c>
      <c r="I169" s="17" t="s">
        <v>358</v>
      </c>
      <c r="J169" s="17" t="s">
        <v>143</v>
      </c>
      <c r="K169" s="17" t="s">
        <v>389</v>
      </c>
      <c r="L169" s="17" t="s">
        <v>662</v>
      </c>
      <c r="M169" s="16" t="str">
        <f>HYPERLINK("http://slimages.macys.com/is/image/MCY/9441485 ")</f>
        <v xml:space="preserve">http://slimages.macys.com/is/image/MCY/9441485 </v>
      </c>
      <c r="N169" s="30"/>
    </row>
    <row r="170" spans="1:14" ht="60" x14ac:dyDescent="0.25">
      <c r="A170" s="19" t="s">
        <v>9690</v>
      </c>
      <c r="B170" s="17" t="s">
        <v>9689</v>
      </c>
      <c r="C170" s="20">
        <v>1</v>
      </c>
      <c r="D170" s="18">
        <v>66.75</v>
      </c>
      <c r="E170" s="20">
        <v>10688320</v>
      </c>
      <c r="F170" s="17" t="s">
        <v>28</v>
      </c>
      <c r="G170" s="19" t="s">
        <v>1445</v>
      </c>
      <c r="H170" s="18">
        <v>16.82</v>
      </c>
      <c r="I170" s="17" t="s">
        <v>358</v>
      </c>
      <c r="J170" s="17" t="s">
        <v>143</v>
      </c>
      <c r="K170" s="17" t="s">
        <v>389</v>
      </c>
      <c r="L170" s="17" t="s">
        <v>662</v>
      </c>
      <c r="M170" s="16" t="str">
        <f>HYPERLINK("http://slimages.macys.com/is/image/MCY/9936885 ")</f>
        <v xml:space="preserve">http://slimages.macys.com/is/image/MCY/9936885 </v>
      </c>
      <c r="N170" s="30"/>
    </row>
    <row r="171" spans="1:14" ht="60" x14ac:dyDescent="0.25">
      <c r="A171" s="19" t="s">
        <v>5142</v>
      </c>
      <c r="B171" s="17" t="s">
        <v>5141</v>
      </c>
      <c r="C171" s="20">
        <v>2</v>
      </c>
      <c r="D171" s="18">
        <v>66.75</v>
      </c>
      <c r="E171" s="20">
        <v>10688320</v>
      </c>
      <c r="F171" s="17" t="s">
        <v>28</v>
      </c>
      <c r="G171" s="19" t="s">
        <v>1292</v>
      </c>
      <c r="H171" s="18">
        <v>16.82</v>
      </c>
      <c r="I171" s="17" t="s">
        <v>358</v>
      </c>
      <c r="J171" s="17" t="s">
        <v>143</v>
      </c>
      <c r="K171" s="17" t="s">
        <v>389</v>
      </c>
      <c r="L171" s="17" t="s">
        <v>662</v>
      </c>
      <c r="M171" s="16" t="str">
        <f>HYPERLINK("http://slimages.macys.com/is/image/MCY/9936885 ")</f>
        <v xml:space="preserve">http://slimages.macys.com/is/image/MCY/9936885 </v>
      </c>
      <c r="N171" s="30"/>
    </row>
    <row r="172" spans="1:14" ht="60" x14ac:dyDescent="0.25">
      <c r="A172" s="19" t="s">
        <v>9688</v>
      </c>
      <c r="B172" s="17" t="s">
        <v>9687</v>
      </c>
      <c r="C172" s="20">
        <v>1</v>
      </c>
      <c r="D172" s="18">
        <v>66.75</v>
      </c>
      <c r="E172" s="20">
        <v>10688320</v>
      </c>
      <c r="F172" s="17" t="s">
        <v>28</v>
      </c>
      <c r="G172" s="19" t="s">
        <v>916</v>
      </c>
      <c r="H172" s="18">
        <v>16.82</v>
      </c>
      <c r="I172" s="17" t="s">
        <v>358</v>
      </c>
      <c r="J172" s="17" t="s">
        <v>143</v>
      </c>
      <c r="K172" s="17" t="s">
        <v>389</v>
      </c>
      <c r="L172" s="17" t="s">
        <v>662</v>
      </c>
      <c r="M172" s="16" t="str">
        <f>HYPERLINK("http://slimages.macys.com/is/image/MCY/9936885 ")</f>
        <v xml:space="preserve">http://slimages.macys.com/is/image/MCY/9936885 </v>
      </c>
      <c r="N172" s="30"/>
    </row>
    <row r="173" spans="1:14" ht="60" x14ac:dyDescent="0.25">
      <c r="A173" s="19" t="s">
        <v>9686</v>
      </c>
      <c r="B173" s="17" t="s">
        <v>9685</v>
      </c>
      <c r="C173" s="20">
        <v>1</v>
      </c>
      <c r="D173" s="18">
        <v>66.75</v>
      </c>
      <c r="E173" s="20">
        <v>10688320</v>
      </c>
      <c r="F173" s="17" t="s">
        <v>51</v>
      </c>
      <c r="G173" s="19" t="s">
        <v>1292</v>
      </c>
      <c r="H173" s="18">
        <v>16.82</v>
      </c>
      <c r="I173" s="17" t="s">
        <v>358</v>
      </c>
      <c r="J173" s="17" t="s">
        <v>143</v>
      </c>
      <c r="K173" s="17" t="s">
        <v>389</v>
      </c>
      <c r="L173" s="17" t="s">
        <v>662</v>
      </c>
      <c r="M173" s="16" t="str">
        <f>HYPERLINK("http://slimages.macys.com/is/image/MCY/9936885 ")</f>
        <v xml:space="preserve">http://slimages.macys.com/is/image/MCY/9936885 </v>
      </c>
      <c r="N173" s="30"/>
    </row>
    <row r="174" spans="1:14" ht="60" x14ac:dyDescent="0.25">
      <c r="A174" s="19" t="s">
        <v>9684</v>
      </c>
      <c r="B174" s="17" t="s">
        <v>9683</v>
      </c>
      <c r="C174" s="20">
        <v>1</v>
      </c>
      <c r="D174" s="18">
        <v>66.75</v>
      </c>
      <c r="E174" s="20">
        <v>10769849</v>
      </c>
      <c r="F174" s="17" t="s">
        <v>23</v>
      </c>
      <c r="G174" s="19" t="s">
        <v>1968</v>
      </c>
      <c r="H174" s="18">
        <v>16.82</v>
      </c>
      <c r="I174" s="17" t="s">
        <v>33</v>
      </c>
      <c r="J174" s="17" t="s">
        <v>143</v>
      </c>
      <c r="K174" s="17"/>
      <c r="L174" s="17"/>
      <c r="M174" s="16" t="str">
        <f>HYPERLINK("http://slimages.macys.com/is/image/MCY/18601379 ")</f>
        <v xml:space="preserve">http://slimages.macys.com/is/image/MCY/18601379 </v>
      </c>
      <c r="N174" s="30"/>
    </row>
    <row r="175" spans="1:14" ht="60" x14ac:dyDescent="0.25">
      <c r="A175" s="19" t="s">
        <v>9682</v>
      </c>
      <c r="B175" s="17" t="s">
        <v>9681</v>
      </c>
      <c r="C175" s="20">
        <v>1</v>
      </c>
      <c r="D175" s="18">
        <v>66.75</v>
      </c>
      <c r="E175" s="20" t="s">
        <v>9680</v>
      </c>
      <c r="F175" s="17" t="s">
        <v>51</v>
      </c>
      <c r="G175" s="19" t="s">
        <v>34</v>
      </c>
      <c r="H175" s="18">
        <v>16.8</v>
      </c>
      <c r="I175" s="17" t="s">
        <v>33</v>
      </c>
      <c r="J175" s="17" t="s">
        <v>32</v>
      </c>
      <c r="K175" s="17"/>
      <c r="L175" s="17"/>
      <c r="M175" s="16" t="str">
        <f>HYPERLINK("http://slimages.macys.com/is/image/MCY/19321488 ")</f>
        <v xml:space="preserve">http://slimages.macys.com/is/image/MCY/19321488 </v>
      </c>
      <c r="N175" s="30"/>
    </row>
    <row r="176" spans="1:14" ht="60" x14ac:dyDescent="0.25">
      <c r="A176" s="19" t="s">
        <v>9679</v>
      </c>
      <c r="B176" s="17" t="s">
        <v>9678</v>
      </c>
      <c r="C176" s="20">
        <v>1</v>
      </c>
      <c r="D176" s="18">
        <v>66.75</v>
      </c>
      <c r="E176" s="20" t="s">
        <v>9677</v>
      </c>
      <c r="F176" s="17" t="s">
        <v>35</v>
      </c>
      <c r="G176" s="19" t="s">
        <v>874</v>
      </c>
      <c r="H176" s="18">
        <v>16.8</v>
      </c>
      <c r="I176" s="17" t="s">
        <v>33</v>
      </c>
      <c r="J176" s="17" t="s">
        <v>32</v>
      </c>
      <c r="K176" s="17"/>
      <c r="L176" s="17"/>
      <c r="M176" s="16" t="str">
        <f>HYPERLINK("http://slimages.macys.com/is/image/MCY/18396109 ")</f>
        <v xml:space="preserve">http://slimages.macys.com/is/image/MCY/18396109 </v>
      </c>
      <c r="N176" s="30"/>
    </row>
    <row r="177" spans="1:14" ht="60" x14ac:dyDescent="0.25">
      <c r="A177" s="19" t="s">
        <v>9676</v>
      </c>
      <c r="B177" s="17" t="s">
        <v>9675</v>
      </c>
      <c r="C177" s="20">
        <v>1</v>
      </c>
      <c r="D177" s="18">
        <v>99</v>
      </c>
      <c r="E177" s="20">
        <v>10784664</v>
      </c>
      <c r="F177" s="17" t="s">
        <v>28</v>
      </c>
      <c r="G177" s="19" t="s">
        <v>116</v>
      </c>
      <c r="H177" s="18">
        <v>16.666666666666668</v>
      </c>
      <c r="I177" s="17" t="s">
        <v>115</v>
      </c>
      <c r="J177" s="17" t="s">
        <v>114</v>
      </c>
      <c r="K177" s="17"/>
      <c r="L177" s="17"/>
      <c r="M177" s="16" t="str">
        <f>HYPERLINK("http://slimages.macys.com/is/image/MCY/18170118 ")</f>
        <v xml:space="preserve">http://slimages.macys.com/is/image/MCY/18170118 </v>
      </c>
      <c r="N177" s="30"/>
    </row>
    <row r="178" spans="1:14" ht="60" x14ac:dyDescent="0.25">
      <c r="A178" s="19" t="s">
        <v>9674</v>
      </c>
      <c r="B178" s="17" t="s">
        <v>9673</v>
      </c>
      <c r="C178" s="20">
        <v>1</v>
      </c>
      <c r="D178" s="18">
        <v>99</v>
      </c>
      <c r="E178" s="20" t="s">
        <v>9672</v>
      </c>
      <c r="F178" s="17" t="s">
        <v>544</v>
      </c>
      <c r="G178" s="19" t="s">
        <v>74</v>
      </c>
      <c r="H178" s="18">
        <v>16.666666666666668</v>
      </c>
      <c r="I178" s="17" t="s">
        <v>115</v>
      </c>
      <c r="J178" s="17" t="s">
        <v>2130</v>
      </c>
      <c r="K178" s="17"/>
      <c r="L178" s="17"/>
      <c r="M178" s="16" t="str">
        <f>HYPERLINK("http://slimages.macys.com/is/image/MCY/18013129 ")</f>
        <v xml:space="preserve">http://slimages.macys.com/is/image/MCY/18013129 </v>
      </c>
      <c r="N178" s="30"/>
    </row>
    <row r="179" spans="1:14" ht="60" x14ac:dyDescent="0.25">
      <c r="A179" s="19" t="s">
        <v>9671</v>
      </c>
      <c r="B179" s="17" t="s">
        <v>9670</v>
      </c>
      <c r="C179" s="20">
        <v>2</v>
      </c>
      <c r="D179" s="18">
        <v>59.25</v>
      </c>
      <c r="E179" s="20">
        <v>10778234</v>
      </c>
      <c r="F179" s="17" t="s">
        <v>63</v>
      </c>
      <c r="G179" s="19"/>
      <c r="H179" s="18">
        <v>16.593333333333334</v>
      </c>
      <c r="I179" s="17" t="s">
        <v>358</v>
      </c>
      <c r="J179" s="17" t="s">
        <v>143</v>
      </c>
      <c r="K179" s="17"/>
      <c r="L179" s="17"/>
      <c r="M179" s="16" t="str">
        <f>HYPERLINK("http://slimages.macys.com/is/image/MCY/17749900 ")</f>
        <v xml:space="preserve">http://slimages.macys.com/is/image/MCY/17749900 </v>
      </c>
      <c r="N179" s="30"/>
    </row>
    <row r="180" spans="1:14" ht="60" x14ac:dyDescent="0.25">
      <c r="A180" s="19" t="s">
        <v>9669</v>
      </c>
      <c r="B180" s="17" t="s">
        <v>9668</v>
      </c>
      <c r="C180" s="20">
        <v>1</v>
      </c>
      <c r="D180" s="18">
        <v>59.25</v>
      </c>
      <c r="E180" s="20">
        <v>10769533</v>
      </c>
      <c r="F180" s="17" t="s">
        <v>28</v>
      </c>
      <c r="G180" s="19" t="s">
        <v>3931</v>
      </c>
      <c r="H180" s="18">
        <v>16.593333333333334</v>
      </c>
      <c r="I180" s="17" t="s">
        <v>33</v>
      </c>
      <c r="J180" s="17" t="s">
        <v>143</v>
      </c>
      <c r="K180" s="17"/>
      <c r="L180" s="17"/>
      <c r="M180" s="16" t="str">
        <f>HYPERLINK("http://slimages.macys.com/is/image/MCY/18601537 ")</f>
        <v xml:space="preserve">http://slimages.macys.com/is/image/MCY/18601537 </v>
      </c>
      <c r="N180" s="30"/>
    </row>
    <row r="181" spans="1:14" ht="60" x14ac:dyDescent="0.25">
      <c r="A181" s="19" t="s">
        <v>9667</v>
      </c>
      <c r="B181" s="17" t="s">
        <v>9666</v>
      </c>
      <c r="C181" s="20">
        <v>1</v>
      </c>
      <c r="D181" s="18">
        <v>59.25</v>
      </c>
      <c r="E181" s="20">
        <v>10798998</v>
      </c>
      <c r="F181" s="17" t="s">
        <v>51</v>
      </c>
      <c r="G181" s="19" t="s">
        <v>351</v>
      </c>
      <c r="H181" s="18">
        <v>16.586666666666666</v>
      </c>
      <c r="I181" s="17" t="s">
        <v>358</v>
      </c>
      <c r="J181" s="17" t="s">
        <v>143</v>
      </c>
      <c r="K181" s="17"/>
      <c r="L181" s="17"/>
      <c r="M181" s="16" t="str">
        <f>HYPERLINK("http://slimages.macys.com/is/image/MCY/18475695 ")</f>
        <v xml:space="preserve">http://slimages.macys.com/is/image/MCY/18475695 </v>
      </c>
      <c r="N181" s="30"/>
    </row>
    <row r="182" spans="1:14" ht="60" x14ac:dyDescent="0.25">
      <c r="A182" s="19" t="s">
        <v>9665</v>
      </c>
      <c r="B182" s="17" t="s">
        <v>9664</v>
      </c>
      <c r="C182" s="20">
        <v>1</v>
      </c>
      <c r="D182" s="18">
        <v>99</v>
      </c>
      <c r="E182" s="20">
        <v>8169512</v>
      </c>
      <c r="F182" s="17" t="s">
        <v>91</v>
      </c>
      <c r="G182" s="19" t="s">
        <v>50</v>
      </c>
      <c r="H182" s="18">
        <v>16.5</v>
      </c>
      <c r="I182" s="17" t="s">
        <v>129</v>
      </c>
      <c r="J182" s="17" t="s">
        <v>128</v>
      </c>
      <c r="K182" s="17" t="s">
        <v>637</v>
      </c>
      <c r="L182" s="17" t="s">
        <v>6011</v>
      </c>
      <c r="M182" s="16" t="str">
        <f>HYPERLINK("http://images.bloomingdales.com/is/image/BLM/10635366 ")</f>
        <v xml:space="preserve">http://images.bloomingdales.com/is/image/BLM/10635366 </v>
      </c>
      <c r="N182" s="30"/>
    </row>
    <row r="183" spans="1:14" ht="60" x14ac:dyDescent="0.25">
      <c r="A183" s="19" t="s">
        <v>9663</v>
      </c>
      <c r="B183" s="17" t="s">
        <v>9662</v>
      </c>
      <c r="C183" s="20">
        <v>1</v>
      </c>
      <c r="D183" s="18">
        <v>99</v>
      </c>
      <c r="E183" s="20">
        <v>10771966</v>
      </c>
      <c r="F183" s="17" t="s">
        <v>578</v>
      </c>
      <c r="G183" s="19" t="s">
        <v>1292</v>
      </c>
      <c r="H183" s="18">
        <v>16.5</v>
      </c>
      <c r="I183" s="17" t="s">
        <v>1307</v>
      </c>
      <c r="J183" s="17" t="s">
        <v>1306</v>
      </c>
      <c r="K183" s="17"/>
      <c r="L183" s="17"/>
      <c r="M183" s="16" t="str">
        <f>HYPERLINK("http://slimages.macys.com/is/image/MCY/18702761 ")</f>
        <v xml:space="preserve">http://slimages.macys.com/is/image/MCY/18702761 </v>
      </c>
      <c r="N183" s="30"/>
    </row>
    <row r="184" spans="1:14" ht="60" x14ac:dyDescent="0.25">
      <c r="A184" s="19" t="s">
        <v>8567</v>
      </c>
      <c r="B184" s="17" t="s">
        <v>8566</v>
      </c>
      <c r="C184" s="20">
        <v>2</v>
      </c>
      <c r="D184" s="18">
        <v>99</v>
      </c>
      <c r="E184" s="20">
        <v>60552299</v>
      </c>
      <c r="F184" s="17" t="s">
        <v>575</v>
      </c>
      <c r="G184" s="19" t="s">
        <v>271</v>
      </c>
      <c r="H184" s="18">
        <v>16.5</v>
      </c>
      <c r="I184" s="17" t="s">
        <v>1307</v>
      </c>
      <c r="J184" s="17" t="s">
        <v>1306</v>
      </c>
      <c r="K184" s="17"/>
      <c r="L184" s="17"/>
      <c r="M184" s="16" t="str">
        <f>HYPERLINK("http://slimages.macys.com/is/image/MCY/18973458 ")</f>
        <v xml:space="preserve">http://slimages.macys.com/is/image/MCY/18973458 </v>
      </c>
      <c r="N184" s="30"/>
    </row>
    <row r="185" spans="1:14" ht="60" x14ac:dyDescent="0.25">
      <c r="A185" s="19" t="s">
        <v>9661</v>
      </c>
      <c r="B185" s="17" t="s">
        <v>9660</v>
      </c>
      <c r="C185" s="20">
        <v>1</v>
      </c>
      <c r="D185" s="18">
        <v>99</v>
      </c>
      <c r="E185" s="20">
        <v>10771966</v>
      </c>
      <c r="F185" s="17" t="s">
        <v>578</v>
      </c>
      <c r="G185" s="19" t="s">
        <v>880</v>
      </c>
      <c r="H185" s="18">
        <v>16.5</v>
      </c>
      <c r="I185" s="17" t="s">
        <v>1307</v>
      </c>
      <c r="J185" s="17" t="s">
        <v>1306</v>
      </c>
      <c r="K185" s="17"/>
      <c r="L185" s="17"/>
      <c r="M185" s="16" t="str">
        <f>HYPERLINK("http://slimages.macys.com/is/image/MCY/18702761 ")</f>
        <v xml:space="preserve">http://slimages.macys.com/is/image/MCY/18702761 </v>
      </c>
      <c r="N185" s="30"/>
    </row>
    <row r="186" spans="1:14" ht="60" x14ac:dyDescent="0.25">
      <c r="A186" s="19" t="s">
        <v>8565</v>
      </c>
      <c r="B186" s="17" t="s">
        <v>8564</v>
      </c>
      <c r="C186" s="20">
        <v>1</v>
      </c>
      <c r="D186" s="18">
        <v>99</v>
      </c>
      <c r="E186" s="20" t="s">
        <v>2004</v>
      </c>
      <c r="F186" s="17" t="s">
        <v>23</v>
      </c>
      <c r="G186" s="19" t="s">
        <v>682</v>
      </c>
      <c r="H186" s="18">
        <v>16.5</v>
      </c>
      <c r="I186" s="17" t="s">
        <v>129</v>
      </c>
      <c r="J186" s="17" t="s">
        <v>128</v>
      </c>
      <c r="K186" s="17"/>
      <c r="L186" s="17"/>
      <c r="M186" s="16" t="str">
        <f>HYPERLINK("http://slimages.macys.com/is/image/MCY/19194171 ")</f>
        <v xml:space="preserve">http://slimages.macys.com/is/image/MCY/19194171 </v>
      </c>
      <c r="N186" s="30"/>
    </row>
    <row r="187" spans="1:14" ht="60" x14ac:dyDescent="0.25">
      <c r="A187" s="19" t="s">
        <v>9659</v>
      </c>
      <c r="B187" s="17" t="s">
        <v>9658</v>
      </c>
      <c r="C187" s="20">
        <v>1</v>
      </c>
      <c r="D187" s="18">
        <v>99</v>
      </c>
      <c r="E187" s="20">
        <v>7021741</v>
      </c>
      <c r="F187" s="17" t="s">
        <v>91</v>
      </c>
      <c r="G187" s="19" t="s">
        <v>17</v>
      </c>
      <c r="H187" s="18">
        <v>16.5</v>
      </c>
      <c r="I187" s="17" t="s">
        <v>111</v>
      </c>
      <c r="J187" s="17" t="s">
        <v>110</v>
      </c>
      <c r="K187" s="17"/>
      <c r="L187" s="17"/>
      <c r="M187" s="16" t="str">
        <f>HYPERLINK("http://slimages.macys.com/is/image/MCY/18879906 ")</f>
        <v xml:space="preserve">http://slimages.macys.com/is/image/MCY/18879906 </v>
      </c>
      <c r="N187" s="30"/>
    </row>
    <row r="188" spans="1:14" ht="60" x14ac:dyDescent="0.25">
      <c r="A188" s="19" t="s">
        <v>9657</v>
      </c>
      <c r="B188" s="17" t="s">
        <v>9656</v>
      </c>
      <c r="C188" s="20">
        <v>1</v>
      </c>
      <c r="D188" s="18">
        <v>89</v>
      </c>
      <c r="E188" s="20" t="s">
        <v>8559</v>
      </c>
      <c r="F188" s="17" t="s">
        <v>23</v>
      </c>
      <c r="G188" s="19" t="s">
        <v>658</v>
      </c>
      <c r="H188" s="18">
        <v>16.433333333333334</v>
      </c>
      <c r="I188" s="17" t="s">
        <v>405</v>
      </c>
      <c r="J188" s="17" t="s">
        <v>404</v>
      </c>
      <c r="K188" s="17"/>
      <c r="L188" s="17"/>
      <c r="M188" s="16" t="str">
        <f>HYPERLINK("http://slimages.macys.com/is/image/MCY/19217846 ")</f>
        <v xml:space="preserve">http://slimages.macys.com/is/image/MCY/19217846 </v>
      </c>
      <c r="N188" s="30"/>
    </row>
    <row r="189" spans="1:14" ht="60" x14ac:dyDescent="0.25">
      <c r="A189" s="19" t="s">
        <v>9655</v>
      </c>
      <c r="B189" s="17" t="s">
        <v>9654</v>
      </c>
      <c r="C189" s="20">
        <v>1</v>
      </c>
      <c r="D189" s="18">
        <v>79</v>
      </c>
      <c r="E189" s="20">
        <v>10795804</v>
      </c>
      <c r="F189" s="17" t="s">
        <v>578</v>
      </c>
      <c r="G189" s="19" t="s">
        <v>74</v>
      </c>
      <c r="H189" s="18">
        <v>16.326666666666668</v>
      </c>
      <c r="I189" s="17" t="s">
        <v>120</v>
      </c>
      <c r="J189" s="17" t="s">
        <v>119</v>
      </c>
      <c r="K189" s="17"/>
      <c r="L189" s="17"/>
      <c r="M189" s="16" t="str">
        <f>HYPERLINK("http://slimages.macys.com/is/image/MCY/18375245 ")</f>
        <v xml:space="preserve">http://slimages.macys.com/is/image/MCY/18375245 </v>
      </c>
      <c r="N189" s="30"/>
    </row>
    <row r="190" spans="1:14" ht="60" x14ac:dyDescent="0.25">
      <c r="A190" s="19" t="s">
        <v>8552</v>
      </c>
      <c r="B190" s="17" t="s">
        <v>8551</v>
      </c>
      <c r="C190" s="20">
        <v>1</v>
      </c>
      <c r="D190" s="18">
        <v>79</v>
      </c>
      <c r="E190" s="20">
        <v>10802272</v>
      </c>
      <c r="F190" s="17" t="s">
        <v>23</v>
      </c>
      <c r="G190" s="19" t="s">
        <v>197</v>
      </c>
      <c r="H190" s="18">
        <v>16.326666666666668</v>
      </c>
      <c r="I190" s="17" t="s">
        <v>144</v>
      </c>
      <c r="J190" s="17" t="s">
        <v>143</v>
      </c>
      <c r="K190" s="17"/>
      <c r="L190" s="17"/>
      <c r="M190" s="16" t="str">
        <f>HYPERLINK("http://slimages.macys.com/is/image/MCY/19096106 ")</f>
        <v xml:space="preserve">http://slimages.macys.com/is/image/MCY/19096106 </v>
      </c>
      <c r="N190" s="30"/>
    </row>
    <row r="191" spans="1:14" ht="60" x14ac:dyDescent="0.25">
      <c r="A191" s="19" t="s">
        <v>9653</v>
      </c>
      <c r="B191" s="17" t="s">
        <v>9652</v>
      </c>
      <c r="C191" s="20">
        <v>1</v>
      </c>
      <c r="D191" s="18">
        <v>79</v>
      </c>
      <c r="E191" s="20">
        <v>10802272</v>
      </c>
      <c r="F191" s="17" t="s">
        <v>23</v>
      </c>
      <c r="G191" s="19" t="s">
        <v>27</v>
      </c>
      <c r="H191" s="18">
        <v>16.326666666666668</v>
      </c>
      <c r="I191" s="17" t="s">
        <v>144</v>
      </c>
      <c r="J191" s="17" t="s">
        <v>143</v>
      </c>
      <c r="K191" s="17"/>
      <c r="L191" s="17"/>
      <c r="M191" s="16" t="str">
        <f>HYPERLINK("http://slimages.macys.com/is/image/MCY/19096106 ")</f>
        <v xml:space="preserve">http://slimages.macys.com/is/image/MCY/19096106 </v>
      </c>
      <c r="N191" s="30"/>
    </row>
    <row r="192" spans="1:14" ht="60" x14ac:dyDescent="0.25">
      <c r="A192" s="19" t="s">
        <v>9651</v>
      </c>
      <c r="B192" s="17" t="s">
        <v>9650</v>
      </c>
      <c r="C192" s="20">
        <v>1</v>
      </c>
      <c r="D192" s="18">
        <v>89</v>
      </c>
      <c r="E192" s="20">
        <v>10762482</v>
      </c>
      <c r="F192" s="17" t="s">
        <v>764</v>
      </c>
      <c r="G192" s="19" t="s">
        <v>916</v>
      </c>
      <c r="H192" s="18">
        <v>16.02</v>
      </c>
      <c r="I192" s="17" t="s">
        <v>358</v>
      </c>
      <c r="J192" s="17" t="s">
        <v>554</v>
      </c>
      <c r="K192" s="17"/>
      <c r="L192" s="17"/>
      <c r="M192" s="16" t="str">
        <f>HYPERLINK("http://slimages.macys.com/is/image/MCY/18245565 ")</f>
        <v xml:space="preserve">http://slimages.macys.com/is/image/MCY/18245565 </v>
      </c>
      <c r="N192" s="30"/>
    </row>
    <row r="193" spans="1:14" ht="60" x14ac:dyDescent="0.25">
      <c r="A193" s="19" t="s">
        <v>8535</v>
      </c>
      <c r="B193" s="17" t="s">
        <v>8534</v>
      </c>
      <c r="C193" s="20">
        <v>1</v>
      </c>
      <c r="D193" s="18">
        <v>79.5</v>
      </c>
      <c r="E193" s="20" t="s">
        <v>2802</v>
      </c>
      <c r="F193" s="17" t="s">
        <v>23</v>
      </c>
      <c r="G193" s="19" t="s">
        <v>197</v>
      </c>
      <c r="H193" s="18">
        <v>16.013333333333335</v>
      </c>
      <c r="I193" s="17" t="s">
        <v>106</v>
      </c>
      <c r="J193" s="17" t="s">
        <v>105</v>
      </c>
      <c r="K193" s="17"/>
      <c r="L193" s="17"/>
      <c r="M193" s="16" t="str">
        <f>HYPERLINK("http://slimages.macys.com/is/image/MCY/19027051 ")</f>
        <v xml:space="preserve">http://slimages.macys.com/is/image/MCY/19027051 </v>
      </c>
      <c r="N193" s="30"/>
    </row>
    <row r="194" spans="1:14" ht="60" x14ac:dyDescent="0.25">
      <c r="A194" s="19" t="s">
        <v>9649</v>
      </c>
      <c r="B194" s="17" t="s">
        <v>9648</v>
      </c>
      <c r="C194" s="20">
        <v>1</v>
      </c>
      <c r="D194" s="18">
        <v>79.5</v>
      </c>
      <c r="E194" s="20" t="s">
        <v>9647</v>
      </c>
      <c r="F194" s="17" t="s">
        <v>562</v>
      </c>
      <c r="G194" s="19" t="s">
        <v>62</v>
      </c>
      <c r="H194" s="18">
        <v>16.013333333333335</v>
      </c>
      <c r="I194" s="17" t="s">
        <v>106</v>
      </c>
      <c r="J194" s="17" t="s">
        <v>105</v>
      </c>
      <c r="K194" s="17"/>
      <c r="L194" s="17"/>
      <c r="M194" s="16" t="str">
        <f>HYPERLINK("http://slimages.macys.com/is/image/MCY/16941050 ")</f>
        <v xml:space="preserve">http://slimages.macys.com/is/image/MCY/16941050 </v>
      </c>
      <c r="N194" s="30"/>
    </row>
    <row r="195" spans="1:14" ht="60" x14ac:dyDescent="0.25">
      <c r="A195" s="19" t="s">
        <v>9646</v>
      </c>
      <c r="B195" s="17" t="s">
        <v>9645</v>
      </c>
      <c r="C195" s="20">
        <v>1</v>
      </c>
      <c r="D195" s="18">
        <v>79.5</v>
      </c>
      <c r="E195" s="20" t="s">
        <v>9644</v>
      </c>
      <c r="F195" s="17" t="s">
        <v>23</v>
      </c>
      <c r="G195" s="19" t="s">
        <v>197</v>
      </c>
      <c r="H195" s="18">
        <v>16.013333333333335</v>
      </c>
      <c r="I195" s="17" t="s">
        <v>106</v>
      </c>
      <c r="J195" s="17" t="s">
        <v>105</v>
      </c>
      <c r="K195" s="17"/>
      <c r="L195" s="17"/>
      <c r="M195" s="16" t="str">
        <f>HYPERLINK("http://slimages.macys.com/is/image/MCY/19028183 ")</f>
        <v xml:space="preserve">http://slimages.macys.com/is/image/MCY/19028183 </v>
      </c>
      <c r="N195" s="30"/>
    </row>
    <row r="196" spans="1:14" ht="60" x14ac:dyDescent="0.25">
      <c r="A196" s="19" t="s">
        <v>9643</v>
      </c>
      <c r="B196" s="17" t="s">
        <v>9642</v>
      </c>
      <c r="C196" s="20">
        <v>1</v>
      </c>
      <c r="D196" s="18">
        <v>79.5</v>
      </c>
      <c r="E196" s="20" t="s">
        <v>7524</v>
      </c>
      <c r="F196" s="17" t="s">
        <v>881</v>
      </c>
      <c r="G196" s="19" t="s">
        <v>116</v>
      </c>
      <c r="H196" s="18">
        <v>16.013333333333335</v>
      </c>
      <c r="I196" s="17" t="s">
        <v>106</v>
      </c>
      <c r="J196" s="17" t="s">
        <v>105</v>
      </c>
      <c r="K196" s="17"/>
      <c r="L196" s="17"/>
      <c r="M196" s="16" t="str">
        <f>HYPERLINK("http://slimages.macys.com/is/image/MCY/18482747 ")</f>
        <v xml:space="preserve">http://slimages.macys.com/is/image/MCY/18482747 </v>
      </c>
      <c r="N196" s="30"/>
    </row>
    <row r="197" spans="1:14" ht="60" x14ac:dyDescent="0.25">
      <c r="A197" s="19" t="s">
        <v>9641</v>
      </c>
      <c r="B197" s="17" t="s">
        <v>9640</v>
      </c>
      <c r="C197" s="20">
        <v>1</v>
      </c>
      <c r="D197" s="18">
        <v>79.5</v>
      </c>
      <c r="E197" s="20" t="s">
        <v>7524</v>
      </c>
      <c r="F197" s="17" t="s">
        <v>881</v>
      </c>
      <c r="G197" s="19" t="s">
        <v>857</v>
      </c>
      <c r="H197" s="18">
        <v>16.013333333333335</v>
      </c>
      <c r="I197" s="17" t="s">
        <v>106</v>
      </c>
      <c r="J197" s="17" t="s">
        <v>105</v>
      </c>
      <c r="K197" s="17"/>
      <c r="L197" s="17"/>
      <c r="M197" s="16" t="str">
        <f>HYPERLINK("http://slimages.macys.com/is/image/MCY/18474798 ")</f>
        <v xml:space="preserve">http://slimages.macys.com/is/image/MCY/18474798 </v>
      </c>
      <c r="N197" s="30"/>
    </row>
    <row r="198" spans="1:14" ht="60" x14ac:dyDescent="0.25">
      <c r="A198" s="19" t="s">
        <v>9639</v>
      </c>
      <c r="B198" s="17" t="s">
        <v>9638</v>
      </c>
      <c r="C198" s="20">
        <v>1</v>
      </c>
      <c r="D198" s="18">
        <v>79.5</v>
      </c>
      <c r="E198" s="20" t="s">
        <v>9637</v>
      </c>
      <c r="F198" s="17" t="s">
        <v>514</v>
      </c>
      <c r="G198" s="19" t="s">
        <v>69</v>
      </c>
      <c r="H198" s="18">
        <v>16.013333333333335</v>
      </c>
      <c r="I198" s="17" t="s">
        <v>106</v>
      </c>
      <c r="J198" s="17" t="s">
        <v>105</v>
      </c>
      <c r="K198" s="17"/>
      <c r="L198" s="17"/>
      <c r="M198" s="16" t="str">
        <f>HYPERLINK("http://slimages.macys.com/is/image/MCY/19195460 ")</f>
        <v xml:space="preserve">http://slimages.macys.com/is/image/MCY/19195460 </v>
      </c>
      <c r="N198" s="30"/>
    </row>
    <row r="199" spans="1:14" ht="60" x14ac:dyDescent="0.25">
      <c r="A199" s="19" t="s">
        <v>9636</v>
      </c>
      <c r="B199" s="17" t="s">
        <v>9635</v>
      </c>
      <c r="C199" s="20">
        <v>1</v>
      </c>
      <c r="D199" s="18">
        <v>99</v>
      </c>
      <c r="E199" s="20">
        <v>2331721</v>
      </c>
      <c r="F199" s="17" t="s">
        <v>63</v>
      </c>
      <c r="G199" s="19" t="s">
        <v>22</v>
      </c>
      <c r="H199" s="18">
        <v>16</v>
      </c>
      <c r="I199" s="17" t="s">
        <v>80</v>
      </c>
      <c r="J199" s="17" t="s">
        <v>293</v>
      </c>
      <c r="K199" s="17"/>
      <c r="L199" s="17"/>
      <c r="M199" s="16" t="str">
        <f>HYPERLINK("http://slimages.macys.com/is/image/MCY/19226135 ")</f>
        <v xml:space="preserve">http://slimages.macys.com/is/image/MCY/19226135 </v>
      </c>
      <c r="N199" s="30"/>
    </row>
    <row r="200" spans="1:14" ht="60" x14ac:dyDescent="0.25">
      <c r="A200" s="19" t="s">
        <v>9634</v>
      </c>
      <c r="B200" s="17" t="s">
        <v>9633</v>
      </c>
      <c r="C200" s="20">
        <v>1</v>
      </c>
      <c r="D200" s="18">
        <v>109</v>
      </c>
      <c r="E200" s="20">
        <v>10765906</v>
      </c>
      <c r="F200" s="17" t="s">
        <v>558</v>
      </c>
      <c r="G200" s="19" t="s">
        <v>139</v>
      </c>
      <c r="H200" s="18">
        <v>15.986666666666668</v>
      </c>
      <c r="I200" s="17" t="s">
        <v>1307</v>
      </c>
      <c r="J200" s="17" t="s">
        <v>1306</v>
      </c>
      <c r="K200" s="17"/>
      <c r="L200" s="17"/>
      <c r="M200" s="16" t="str">
        <f>HYPERLINK("http://slimages.macys.com/is/image/MCY/18702531 ")</f>
        <v xml:space="preserve">http://slimages.macys.com/is/image/MCY/18702531 </v>
      </c>
      <c r="N200" s="30"/>
    </row>
    <row r="201" spans="1:14" ht="84" x14ac:dyDescent="0.25">
      <c r="A201" s="19" t="s">
        <v>9632</v>
      </c>
      <c r="B201" s="17" t="s">
        <v>9631</v>
      </c>
      <c r="C201" s="20">
        <v>1</v>
      </c>
      <c r="D201" s="18">
        <v>68</v>
      </c>
      <c r="E201" s="20" t="s">
        <v>9630</v>
      </c>
      <c r="F201" s="17" t="s">
        <v>575</v>
      </c>
      <c r="G201" s="19" t="s">
        <v>116</v>
      </c>
      <c r="H201" s="18">
        <v>15.866666666666667</v>
      </c>
      <c r="I201" s="17" t="s">
        <v>148</v>
      </c>
      <c r="J201" s="17" t="s">
        <v>4509</v>
      </c>
      <c r="K201" s="17" t="s">
        <v>389</v>
      </c>
      <c r="L201" s="17" t="s">
        <v>6583</v>
      </c>
      <c r="M201" s="16" t="str">
        <f>HYPERLINK("http://slimages.macys.com/is/image/MCY/12674477 ")</f>
        <v xml:space="preserve">http://slimages.macys.com/is/image/MCY/12674477 </v>
      </c>
      <c r="N201" s="30"/>
    </row>
    <row r="202" spans="1:14" ht="60" x14ac:dyDescent="0.25">
      <c r="A202" s="19" t="s">
        <v>9629</v>
      </c>
      <c r="B202" s="17" t="s">
        <v>9628</v>
      </c>
      <c r="C202" s="20">
        <v>1</v>
      </c>
      <c r="D202" s="18">
        <v>79</v>
      </c>
      <c r="E202" s="20">
        <v>10769940</v>
      </c>
      <c r="F202" s="17" t="s">
        <v>578</v>
      </c>
      <c r="G202" s="19" t="s">
        <v>74</v>
      </c>
      <c r="H202" s="18">
        <v>15.8</v>
      </c>
      <c r="I202" s="17" t="s">
        <v>115</v>
      </c>
      <c r="J202" s="17" t="s">
        <v>1265</v>
      </c>
      <c r="K202" s="17"/>
      <c r="L202" s="17"/>
      <c r="M202" s="16" t="str">
        <f>HYPERLINK("http://slimages.macys.com/is/image/MCY/17791893 ")</f>
        <v xml:space="preserve">http://slimages.macys.com/is/image/MCY/17791893 </v>
      </c>
      <c r="N202" s="30"/>
    </row>
    <row r="203" spans="1:14" ht="84" x14ac:dyDescent="0.25">
      <c r="A203" s="19" t="s">
        <v>9627</v>
      </c>
      <c r="B203" s="17" t="s">
        <v>9626</v>
      </c>
      <c r="C203" s="20">
        <v>1</v>
      </c>
      <c r="D203" s="18">
        <v>79</v>
      </c>
      <c r="E203" s="20">
        <v>10543034</v>
      </c>
      <c r="F203" s="17" t="s">
        <v>508</v>
      </c>
      <c r="G203" s="19" t="s">
        <v>658</v>
      </c>
      <c r="H203" s="18">
        <v>15.273333333333333</v>
      </c>
      <c r="I203" s="17" t="s">
        <v>144</v>
      </c>
      <c r="J203" s="17" t="s">
        <v>143</v>
      </c>
      <c r="K203" s="17" t="s">
        <v>389</v>
      </c>
      <c r="L203" s="17" t="s">
        <v>1154</v>
      </c>
      <c r="M203" s="16" t="str">
        <f>HYPERLINK("http://slimages.macys.com/is/image/MCY/3960078 ")</f>
        <v xml:space="preserve">http://slimages.macys.com/is/image/MCY/3960078 </v>
      </c>
      <c r="N203" s="30"/>
    </row>
    <row r="204" spans="1:14" ht="60" x14ac:dyDescent="0.25">
      <c r="A204" s="19" t="s">
        <v>9625</v>
      </c>
      <c r="B204" s="17" t="s">
        <v>9624</v>
      </c>
      <c r="C204" s="20">
        <v>1</v>
      </c>
      <c r="D204" s="18">
        <v>79</v>
      </c>
      <c r="E204" s="20">
        <v>10688318</v>
      </c>
      <c r="F204" s="17" t="s">
        <v>51</v>
      </c>
      <c r="G204" s="19" t="s">
        <v>857</v>
      </c>
      <c r="H204" s="18">
        <v>15.273333333333333</v>
      </c>
      <c r="I204" s="17" t="s">
        <v>144</v>
      </c>
      <c r="J204" s="17" t="s">
        <v>143</v>
      </c>
      <c r="K204" s="17" t="s">
        <v>389</v>
      </c>
      <c r="L204" s="17" t="s">
        <v>662</v>
      </c>
      <c r="M204" s="16" t="str">
        <f>HYPERLINK("http://slimages.macys.com/is/image/MCY/9570082 ")</f>
        <v xml:space="preserve">http://slimages.macys.com/is/image/MCY/9570082 </v>
      </c>
      <c r="N204" s="30"/>
    </row>
    <row r="205" spans="1:14" ht="60" x14ac:dyDescent="0.25">
      <c r="A205" s="19" t="s">
        <v>9623</v>
      </c>
      <c r="B205" s="17" t="s">
        <v>9622</v>
      </c>
      <c r="C205" s="20">
        <v>1</v>
      </c>
      <c r="D205" s="18">
        <v>79</v>
      </c>
      <c r="E205" s="20">
        <v>10688318</v>
      </c>
      <c r="F205" s="17" t="s">
        <v>51</v>
      </c>
      <c r="G205" s="19" t="s">
        <v>116</v>
      </c>
      <c r="H205" s="18">
        <v>15.273333333333333</v>
      </c>
      <c r="I205" s="17" t="s">
        <v>144</v>
      </c>
      <c r="J205" s="17" t="s">
        <v>143</v>
      </c>
      <c r="K205" s="17" t="s">
        <v>389</v>
      </c>
      <c r="L205" s="17" t="s">
        <v>662</v>
      </c>
      <c r="M205" s="16" t="str">
        <f>HYPERLINK("http://slimages.macys.com/is/image/MCY/9570082 ")</f>
        <v xml:space="preserve">http://slimages.macys.com/is/image/MCY/9570082 </v>
      </c>
      <c r="N205" s="30"/>
    </row>
    <row r="206" spans="1:14" ht="60" x14ac:dyDescent="0.25">
      <c r="A206" s="19" t="s">
        <v>9621</v>
      </c>
      <c r="B206" s="17" t="s">
        <v>9620</v>
      </c>
      <c r="C206" s="20">
        <v>1</v>
      </c>
      <c r="D206" s="18">
        <v>69</v>
      </c>
      <c r="E206" s="20" t="s">
        <v>7491</v>
      </c>
      <c r="F206" s="17" t="s">
        <v>345</v>
      </c>
      <c r="G206" s="19" t="s">
        <v>62</v>
      </c>
      <c r="H206" s="18">
        <v>15.226666666666667</v>
      </c>
      <c r="I206" s="17" t="s">
        <v>49</v>
      </c>
      <c r="J206" s="17" t="s">
        <v>48</v>
      </c>
      <c r="K206" s="17"/>
      <c r="L206" s="17"/>
      <c r="M206" s="16" t="str">
        <f>HYPERLINK("http://slimages.macys.com/is/image/MCY/18901283 ")</f>
        <v xml:space="preserve">http://slimages.macys.com/is/image/MCY/18901283 </v>
      </c>
      <c r="N206" s="30"/>
    </row>
    <row r="207" spans="1:14" ht="60" x14ac:dyDescent="0.25">
      <c r="A207" s="19" t="s">
        <v>9619</v>
      </c>
      <c r="B207" s="17" t="s">
        <v>9618</v>
      </c>
      <c r="C207" s="20">
        <v>1</v>
      </c>
      <c r="D207" s="18">
        <v>89</v>
      </c>
      <c r="E207" s="20">
        <v>8159956</v>
      </c>
      <c r="F207" s="17" t="s">
        <v>35</v>
      </c>
      <c r="G207" s="19" t="s">
        <v>62</v>
      </c>
      <c r="H207" s="18">
        <v>14.833333333333334</v>
      </c>
      <c r="I207" s="17" t="s">
        <v>129</v>
      </c>
      <c r="J207" s="17" t="s">
        <v>128</v>
      </c>
      <c r="K207" s="17"/>
      <c r="L207" s="17"/>
      <c r="M207" s="16" t="str">
        <f>HYPERLINK("http://slimages.macys.com/is/image/MCY/18614684 ")</f>
        <v xml:space="preserve">http://slimages.macys.com/is/image/MCY/18614684 </v>
      </c>
      <c r="N207" s="30"/>
    </row>
    <row r="208" spans="1:14" ht="60" x14ac:dyDescent="0.25">
      <c r="A208" s="19" t="s">
        <v>9617</v>
      </c>
      <c r="B208" s="17" t="s">
        <v>9616</v>
      </c>
      <c r="C208" s="20">
        <v>1</v>
      </c>
      <c r="D208" s="18">
        <v>89</v>
      </c>
      <c r="E208" s="20" t="s">
        <v>9615</v>
      </c>
      <c r="F208" s="17"/>
      <c r="G208" s="19" t="s">
        <v>62</v>
      </c>
      <c r="H208" s="18">
        <v>14.833333333333334</v>
      </c>
      <c r="I208" s="17" t="s">
        <v>405</v>
      </c>
      <c r="J208" s="17" t="s">
        <v>404</v>
      </c>
      <c r="K208" s="17"/>
      <c r="L208" s="17"/>
      <c r="M208" s="16" t="str">
        <f>HYPERLINK("http://slimages.macys.com/is/image/MCY/19026249 ")</f>
        <v xml:space="preserve">http://slimages.macys.com/is/image/MCY/19026249 </v>
      </c>
      <c r="N208" s="30"/>
    </row>
    <row r="209" spans="1:14" ht="60" x14ac:dyDescent="0.25">
      <c r="A209" s="19" t="s">
        <v>9614</v>
      </c>
      <c r="B209" s="17" t="s">
        <v>9613</v>
      </c>
      <c r="C209" s="20">
        <v>1</v>
      </c>
      <c r="D209" s="18">
        <v>89</v>
      </c>
      <c r="E209" s="20" t="s">
        <v>8503</v>
      </c>
      <c r="F209" s="17" t="s">
        <v>51</v>
      </c>
      <c r="G209" s="19" t="s">
        <v>116</v>
      </c>
      <c r="H209" s="18">
        <v>14.833333333333334</v>
      </c>
      <c r="I209" s="17" t="s">
        <v>678</v>
      </c>
      <c r="J209" s="17" t="s">
        <v>404</v>
      </c>
      <c r="K209" s="17"/>
      <c r="L209" s="17"/>
      <c r="M209" s="16" t="str">
        <f>HYPERLINK("http://slimages.macys.com/is/image/MCY/19377483 ")</f>
        <v xml:space="preserve">http://slimages.macys.com/is/image/MCY/19377483 </v>
      </c>
      <c r="N209" s="30"/>
    </row>
    <row r="210" spans="1:14" ht="72" x14ac:dyDescent="0.25">
      <c r="A210" s="19" t="s">
        <v>9612</v>
      </c>
      <c r="B210" s="17" t="s">
        <v>9611</v>
      </c>
      <c r="C210" s="20">
        <v>1</v>
      </c>
      <c r="D210" s="18">
        <v>89</v>
      </c>
      <c r="E210" s="20">
        <v>7030123</v>
      </c>
      <c r="F210" s="17" t="s">
        <v>91</v>
      </c>
      <c r="G210" s="19" t="s">
        <v>17</v>
      </c>
      <c r="H210" s="18">
        <v>14.833333333333334</v>
      </c>
      <c r="I210" s="17" t="s">
        <v>111</v>
      </c>
      <c r="J210" s="17" t="s">
        <v>110</v>
      </c>
      <c r="K210" s="17" t="s">
        <v>637</v>
      </c>
      <c r="L210" s="17" t="s">
        <v>3718</v>
      </c>
      <c r="M210" s="16" t="str">
        <f>HYPERLINK("http://images.bloomingdales.com/is/image/BLM/10984794 ")</f>
        <v xml:space="preserve">http://images.bloomingdales.com/is/image/BLM/10984794 </v>
      </c>
      <c r="N210" s="30"/>
    </row>
    <row r="211" spans="1:14" ht="60" x14ac:dyDescent="0.25">
      <c r="A211" s="19" t="s">
        <v>9610</v>
      </c>
      <c r="B211" s="17" t="s">
        <v>9609</v>
      </c>
      <c r="C211" s="20">
        <v>1</v>
      </c>
      <c r="D211" s="18">
        <v>69.3</v>
      </c>
      <c r="E211" s="20" t="s">
        <v>9608</v>
      </c>
      <c r="F211" s="17" t="s">
        <v>58</v>
      </c>
      <c r="G211" s="19"/>
      <c r="H211" s="18">
        <v>14.833333333333334</v>
      </c>
      <c r="I211" s="17" t="s">
        <v>42</v>
      </c>
      <c r="J211" s="17" t="s">
        <v>41</v>
      </c>
      <c r="K211" s="17"/>
      <c r="L211" s="17"/>
      <c r="M211" s="16" t="str">
        <f>HYPERLINK("http://slimages.macys.com/is/image/MCY/18545216 ")</f>
        <v xml:space="preserve">http://slimages.macys.com/is/image/MCY/18545216 </v>
      </c>
      <c r="N211" s="30"/>
    </row>
    <row r="212" spans="1:14" ht="60" x14ac:dyDescent="0.25">
      <c r="A212" s="19" t="s">
        <v>9607</v>
      </c>
      <c r="B212" s="17" t="s">
        <v>9606</v>
      </c>
      <c r="C212" s="20">
        <v>1</v>
      </c>
      <c r="D212" s="18">
        <v>89</v>
      </c>
      <c r="E212" s="20">
        <v>10763648</v>
      </c>
      <c r="F212" s="17" t="s">
        <v>578</v>
      </c>
      <c r="G212" s="19" t="s">
        <v>62</v>
      </c>
      <c r="H212" s="18">
        <v>14.833333333333334</v>
      </c>
      <c r="I212" s="17" t="s">
        <v>120</v>
      </c>
      <c r="J212" s="17" t="s">
        <v>119</v>
      </c>
      <c r="K212" s="17"/>
      <c r="L212" s="17"/>
      <c r="M212" s="16" t="str">
        <f>HYPERLINK("http://slimages.macys.com/is/image/MCY/19028951 ")</f>
        <v xml:space="preserve">http://slimages.macys.com/is/image/MCY/19028951 </v>
      </c>
      <c r="N212" s="30"/>
    </row>
    <row r="213" spans="1:14" ht="60" x14ac:dyDescent="0.25">
      <c r="A213" s="19" t="s">
        <v>8490</v>
      </c>
      <c r="B213" s="17" t="s">
        <v>8489</v>
      </c>
      <c r="C213" s="20">
        <v>1</v>
      </c>
      <c r="D213" s="18">
        <v>79</v>
      </c>
      <c r="E213" s="20">
        <v>7099049</v>
      </c>
      <c r="F213" s="17" t="s">
        <v>91</v>
      </c>
      <c r="G213" s="19" t="s">
        <v>62</v>
      </c>
      <c r="H213" s="18">
        <v>14.746666666666668</v>
      </c>
      <c r="I213" s="17" t="s">
        <v>111</v>
      </c>
      <c r="J213" s="17" t="s">
        <v>110</v>
      </c>
      <c r="K213" s="17" t="s">
        <v>389</v>
      </c>
      <c r="L213" s="17" t="s">
        <v>1359</v>
      </c>
      <c r="M213" s="16" t="str">
        <f>HYPERLINK("http://slimages.macys.com/is/image/MCY/14466495 ")</f>
        <v xml:space="preserve">http://slimages.macys.com/is/image/MCY/14466495 </v>
      </c>
      <c r="N213" s="30"/>
    </row>
    <row r="214" spans="1:14" ht="84" x14ac:dyDescent="0.25">
      <c r="A214" s="19" t="s">
        <v>9605</v>
      </c>
      <c r="B214" s="17" t="s">
        <v>9604</v>
      </c>
      <c r="C214" s="20">
        <v>1</v>
      </c>
      <c r="D214" s="18">
        <v>69</v>
      </c>
      <c r="E214" s="20">
        <v>7039022</v>
      </c>
      <c r="F214" s="17" t="s">
        <v>508</v>
      </c>
      <c r="G214" s="19" t="s">
        <v>101</v>
      </c>
      <c r="H214" s="18">
        <v>14.720000000000002</v>
      </c>
      <c r="I214" s="17" t="s">
        <v>111</v>
      </c>
      <c r="J214" s="17" t="s">
        <v>110</v>
      </c>
      <c r="K214" s="17" t="s">
        <v>389</v>
      </c>
      <c r="L214" s="17" t="s">
        <v>548</v>
      </c>
      <c r="M214" s="16" t="str">
        <f>HYPERLINK("http://slimages.macys.com/is/image/MCY/12851618 ")</f>
        <v xml:space="preserve">http://slimages.macys.com/is/image/MCY/12851618 </v>
      </c>
      <c r="N214" s="30"/>
    </row>
    <row r="215" spans="1:14" ht="60" x14ac:dyDescent="0.25">
      <c r="A215" s="19" t="s">
        <v>9603</v>
      </c>
      <c r="B215" s="17" t="s">
        <v>9602</v>
      </c>
      <c r="C215" s="20">
        <v>1</v>
      </c>
      <c r="D215" s="18">
        <v>79</v>
      </c>
      <c r="E215" s="20" t="s">
        <v>9599</v>
      </c>
      <c r="F215" s="17" t="s">
        <v>140</v>
      </c>
      <c r="G215" s="19" t="s">
        <v>69</v>
      </c>
      <c r="H215" s="18">
        <v>14.586666666666668</v>
      </c>
      <c r="I215" s="17" t="s">
        <v>405</v>
      </c>
      <c r="J215" s="17" t="s">
        <v>404</v>
      </c>
      <c r="K215" s="17"/>
      <c r="L215" s="17"/>
      <c r="M215" s="16" t="str">
        <f>HYPERLINK("http://slimages.macys.com/is/image/MCY/17885033 ")</f>
        <v xml:space="preserve">http://slimages.macys.com/is/image/MCY/17885033 </v>
      </c>
      <c r="N215" s="30"/>
    </row>
    <row r="216" spans="1:14" ht="60" x14ac:dyDescent="0.25">
      <c r="A216" s="19" t="s">
        <v>9601</v>
      </c>
      <c r="B216" s="17" t="s">
        <v>9600</v>
      </c>
      <c r="C216" s="20">
        <v>1</v>
      </c>
      <c r="D216" s="18">
        <v>79</v>
      </c>
      <c r="E216" s="20" t="s">
        <v>9599</v>
      </c>
      <c r="F216" s="17" t="s">
        <v>140</v>
      </c>
      <c r="G216" s="19" t="s">
        <v>57</v>
      </c>
      <c r="H216" s="18">
        <v>14.586666666666668</v>
      </c>
      <c r="I216" s="17" t="s">
        <v>405</v>
      </c>
      <c r="J216" s="17" t="s">
        <v>404</v>
      </c>
      <c r="K216" s="17"/>
      <c r="L216" s="17"/>
      <c r="M216" s="16" t="str">
        <f>HYPERLINK("http://slimages.macys.com/is/image/MCY/17885033 ")</f>
        <v xml:space="preserve">http://slimages.macys.com/is/image/MCY/17885033 </v>
      </c>
      <c r="N216" s="30"/>
    </row>
    <row r="217" spans="1:14" ht="60" x14ac:dyDescent="0.25">
      <c r="A217" s="19" t="s">
        <v>8476</v>
      </c>
      <c r="B217" s="17" t="s">
        <v>8475</v>
      </c>
      <c r="C217" s="20">
        <v>1</v>
      </c>
      <c r="D217" s="18">
        <v>79.5</v>
      </c>
      <c r="E217" s="20" t="s">
        <v>8472</v>
      </c>
      <c r="F217" s="17" t="s">
        <v>51</v>
      </c>
      <c r="G217" s="19" t="s">
        <v>351</v>
      </c>
      <c r="H217" s="18">
        <v>14.573333333333334</v>
      </c>
      <c r="I217" s="17" t="s">
        <v>267</v>
      </c>
      <c r="J217" s="17" t="s">
        <v>32</v>
      </c>
      <c r="K217" s="17"/>
      <c r="L217" s="17"/>
      <c r="M217" s="16" t="str">
        <f>HYPERLINK("http://slimages.macys.com/is/image/MCY/18830202 ")</f>
        <v xml:space="preserve">http://slimages.macys.com/is/image/MCY/18830202 </v>
      </c>
      <c r="N217" s="30"/>
    </row>
    <row r="218" spans="1:14" ht="60" x14ac:dyDescent="0.25">
      <c r="A218" s="19" t="s">
        <v>9598</v>
      </c>
      <c r="B218" s="17" t="s">
        <v>9597</v>
      </c>
      <c r="C218" s="20">
        <v>3</v>
      </c>
      <c r="D218" s="18">
        <v>79.5</v>
      </c>
      <c r="E218" s="20" t="s">
        <v>8472</v>
      </c>
      <c r="F218" s="17" t="s">
        <v>164</v>
      </c>
      <c r="G218" s="19" t="s">
        <v>351</v>
      </c>
      <c r="H218" s="18">
        <v>14.573333333333334</v>
      </c>
      <c r="I218" s="17" t="s">
        <v>267</v>
      </c>
      <c r="J218" s="17" t="s">
        <v>32</v>
      </c>
      <c r="K218" s="17"/>
      <c r="L218" s="17"/>
      <c r="M218" s="16" t="str">
        <f>HYPERLINK("http://slimages.macys.com/is/image/MCY/18830202 ")</f>
        <v xml:space="preserve">http://slimages.macys.com/is/image/MCY/18830202 </v>
      </c>
      <c r="N218" s="30"/>
    </row>
    <row r="219" spans="1:14" ht="60" x14ac:dyDescent="0.25">
      <c r="A219" s="19" t="s">
        <v>9596</v>
      </c>
      <c r="B219" s="17" t="s">
        <v>9595</v>
      </c>
      <c r="C219" s="20">
        <v>1</v>
      </c>
      <c r="D219" s="18">
        <v>51.75</v>
      </c>
      <c r="E219" s="20">
        <v>10762542</v>
      </c>
      <c r="F219" s="17" t="s">
        <v>140</v>
      </c>
      <c r="G219" s="19" t="s">
        <v>271</v>
      </c>
      <c r="H219" s="18">
        <v>14.493333333333334</v>
      </c>
      <c r="I219" s="17" t="s">
        <v>358</v>
      </c>
      <c r="J219" s="17" t="s">
        <v>143</v>
      </c>
      <c r="K219" s="17"/>
      <c r="L219" s="17"/>
      <c r="M219" s="16" t="str">
        <f>HYPERLINK("http://slimages.macys.com/is/image/MCY/18954079 ")</f>
        <v xml:space="preserve">http://slimages.macys.com/is/image/MCY/18954079 </v>
      </c>
      <c r="N219" s="30"/>
    </row>
    <row r="220" spans="1:14" ht="72" x14ac:dyDescent="0.25">
      <c r="A220" s="19" t="s">
        <v>9594</v>
      </c>
      <c r="B220" s="17" t="s">
        <v>9593</v>
      </c>
      <c r="C220" s="20">
        <v>1</v>
      </c>
      <c r="D220" s="18">
        <v>69.5</v>
      </c>
      <c r="E220" s="20" t="s">
        <v>9592</v>
      </c>
      <c r="F220" s="17" t="s">
        <v>544</v>
      </c>
      <c r="G220" s="19" t="s">
        <v>139</v>
      </c>
      <c r="H220" s="18">
        <v>14.333333333333334</v>
      </c>
      <c r="I220" s="17" t="s">
        <v>267</v>
      </c>
      <c r="J220" s="17" t="s">
        <v>32</v>
      </c>
      <c r="K220" s="17" t="s">
        <v>389</v>
      </c>
      <c r="L220" s="17" t="s">
        <v>9591</v>
      </c>
      <c r="M220" s="16" t="str">
        <f>HYPERLINK("http://slimages.macys.com/is/image/MCY/11765590 ")</f>
        <v xml:space="preserve">http://slimages.macys.com/is/image/MCY/11765590 </v>
      </c>
      <c r="N220" s="30"/>
    </row>
    <row r="221" spans="1:14" ht="60" x14ac:dyDescent="0.25">
      <c r="A221" s="19" t="s">
        <v>7438</v>
      </c>
      <c r="B221" s="17" t="s">
        <v>7437</v>
      </c>
      <c r="C221" s="20">
        <v>1</v>
      </c>
      <c r="D221" s="18">
        <v>69.5</v>
      </c>
      <c r="E221" s="20" t="s">
        <v>7436</v>
      </c>
      <c r="F221" s="17" t="s">
        <v>1022</v>
      </c>
      <c r="G221" s="19" t="s">
        <v>69</v>
      </c>
      <c r="H221" s="18">
        <v>14.000000000000002</v>
      </c>
      <c r="I221" s="17" t="s">
        <v>106</v>
      </c>
      <c r="J221" s="17" t="s">
        <v>105</v>
      </c>
      <c r="K221" s="17"/>
      <c r="L221" s="17"/>
      <c r="M221" s="16" t="str">
        <f>HYPERLINK("http://slimages.macys.com/is/image/MCY/16942683 ")</f>
        <v xml:space="preserve">http://slimages.macys.com/is/image/MCY/16942683 </v>
      </c>
      <c r="N221" s="30"/>
    </row>
    <row r="222" spans="1:14" ht="60" x14ac:dyDescent="0.25">
      <c r="A222" s="19" t="s">
        <v>9590</v>
      </c>
      <c r="B222" s="17" t="s">
        <v>9589</v>
      </c>
      <c r="C222" s="20">
        <v>1</v>
      </c>
      <c r="D222" s="18">
        <v>69.5</v>
      </c>
      <c r="E222" s="20" t="s">
        <v>9586</v>
      </c>
      <c r="F222" s="17" t="s">
        <v>508</v>
      </c>
      <c r="G222" s="19" t="s">
        <v>69</v>
      </c>
      <c r="H222" s="18">
        <v>14.000000000000002</v>
      </c>
      <c r="I222" s="17" t="s">
        <v>106</v>
      </c>
      <c r="J222" s="17" t="s">
        <v>105</v>
      </c>
      <c r="K222" s="17"/>
      <c r="L222" s="17"/>
      <c r="M222" s="16" t="str">
        <f>HYPERLINK("http://slimages.macys.com/is/image/MCY/19027174 ")</f>
        <v xml:space="preserve">http://slimages.macys.com/is/image/MCY/19027174 </v>
      </c>
      <c r="N222" s="30"/>
    </row>
    <row r="223" spans="1:14" ht="60" x14ac:dyDescent="0.25">
      <c r="A223" s="19" t="s">
        <v>9588</v>
      </c>
      <c r="B223" s="17" t="s">
        <v>9587</v>
      </c>
      <c r="C223" s="20">
        <v>1</v>
      </c>
      <c r="D223" s="18">
        <v>69.5</v>
      </c>
      <c r="E223" s="20" t="s">
        <v>9586</v>
      </c>
      <c r="F223" s="17" t="s">
        <v>508</v>
      </c>
      <c r="G223" s="19" t="s">
        <v>62</v>
      </c>
      <c r="H223" s="18">
        <v>14.000000000000002</v>
      </c>
      <c r="I223" s="17" t="s">
        <v>106</v>
      </c>
      <c r="J223" s="17" t="s">
        <v>105</v>
      </c>
      <c r="K223" s="17"/>
      <c r="L223" s="17"/>
      <c r="M223" s="16" t="str">
        <f>HYPERLINK("http://slimages.macys.com/is/image/MCY/19027174 ")</f>
        <v xml:space="preserve">http://slimages.macys.com/is/image/MCY/19027174 </v>
      </c>
      <c r="N223" s="30"/>
    </row>
    <row r="224" spans="1:14" ht="60" x14ac:dyDescent="0.25">
      <c r="A224" s="19" t="s">
        <v>9585</v>
      </c>
      <c r="B224" s="17" t="s">
        <v>9584</v>
      </c>
      <c r="C224" s="20">
        <v>1</v>
      </c>
      <c r="D224" s="18">
        <v>69.5</v>
      </c>
      <c r="E224" s="20" t="s">
        <v>9583</v>
      </c>
      <c r="F224" s="17" t="s">
        <v>51</v>
      </c>
      <c r="G224" s="19" t="s">
        <v>62</v>
      </c>
      <c r="H224" s="18">
        <v>14.000000000000002</v>
      </c>
      <c r="I224" s="17" t="s">
        <v>106</v>
      </c>
      <c r="J224" s="17" t="s">
        <v>105</v>
      </c>
      <c r="K224" s="17"/>
      <c r="L224" s="17"/>
      <c r="M224" s="16" t="str">
        <f>HYPERLINK("http://slimages.macys.com/is/image/MCY/18844175 ")</f>
        <v xml:space="preserve">http://slimages.macys.com/is/image/MCY/18844175 </v>
      </c>
      <c r="N224" s="30"/>
    </row>
    <row r="225" spans="1:14" ht="60" x14ac:dyDescent="0.25">
      <c r="A225" s="19" t="s">
        <v>9582</v>
      </c>
      <c r="B225" s="17" t="s">
        <v>9581</v>
      </c>
      <c r="C225" s="20">
        <v>1</v>
      </c>
      <c r="D225" s="18">
        <v>69.5</v>
      </c>
      <c r="E225" s="20" t="s">
        <v>3677</v>
      </c>
      <c r="F225" s="17" t="s">
        <v>51</v>
      </c>
      <c r="G225" s="19" t="s">
        <v>69</v>
      </c>
      <c r="H225" s="18">
        <v>14.000000000000002</v>
      </c>
      <c r="I225" s="17" t="s">
        <v>106</v>
      </c>
      <c r="J225" s="17" t="s">
        <v>105</v>
      </c>
      <c r="K225" s="17"/>
      <c r="L225" s="17"/>
      <c r="M225" s="16" t="str">
        <f>HYPERLINK("http://slimages.macys.com/is/image/MCY/19027336 ")</f>
        <v xml:space="preserve">http://slimages.macys.com/is/image/MCY/19027336 </v>
      </c>
      <c r="N225" s="30"/>
    </row>
    <row r="226" spans="1:14" ht="96" x14ac:dyDescent="0.25">
      <c r="A226" s="19" t="s">
        <v>9580</v>
      </c>
      <c r="B226" s="17" t="s">
        <v>9579</v>
      </c>
      <c r="C226" s="20">
        <v>1</v>
      </c>
      <c r="D226" s="18">
        <v>59.98</v>
      </c>
      <c r="E226" s="20" t="s">
        <v>8454</v>
      </c>
      <c r="F226" s="17" t="s">
        <v>44</v>
      </c>
      <c r="G226" s="19" t="s">
        <v>669</v>
      </c>
      <c r="H226" s="18">
        <v>13.993333333333336</v>
      </c>
      <c r="I226" s="17" t="s">
        <v>33</v>
      </c>
      <c r="J226" s="17" t="s">
        <v>32</v>
      </c>
      <c r="K226" s="17" t="s">
        <v>389</v>
      </c>
      <c r="L226" s="17" t="s">
        <v>8453</v>
      </c>
      <c r="M226" s="16" t="str">
        <f>HYPERLINK("http://slimages.macys.com/is/image/MCY/11156751 ")</f>
        <v xml:space="preserve">http://slimages.macys.com/is/image/MCY/11156751 </v>
      </c>
      <c r="N226" s="30"/>
    </row>
    <row r="227" spans="1:14" ht="96" x14ac:dyDescent="0.25">
      <c r="A227" s="19" t="s">
        <v>9578</v>
      </c>
      <c r="B227" s="17" t="s">
        <v>9577</v>
      </c>
      <c r="C227" s="20">
        <v>1</v>
      </c>
      <c r="D227" s="18">
        <v>59.98</v>
      </c>
      <c r="E227" s="20" t="s">
        <v>8454</v>
      </c>
      <c r="F227" s="17" t="s">
        <v>44</v>
      </c>
      <c r="G227" s="19" t="s">
        <v>738</v>
      </c>
      <c r="H227" s="18">
        <v>13.993333333333336</v>
      </c>
      <c r="I227" s="17" t="s">
        <v>33</v>
      </c>
      <c r="J227" s="17" t="s">
        <v>32</v>
      </c>
      <c r="K227" s="17" t="s">
        <v>389</v>
      </c>
      <c r="L227" s="17" t="s">
        <v>8453</v>
      </c>
      <c r="M227" s="16" t="str">
        <f>HYPERLINK("http://slimages.macys.com/is/image/MCY/11156751 ")</f>
        <v xml:space="preserve">http://slimages.macys.com/is/image/MCY/11156751 </v>
      </c>
      <c r="N227" s="30"/>
    </row>
    <row r="228" spans="1:14" ht="60" x14ac:dyDescent="0.25">
      <c r="A228" s="19" t="s">
        <v>9576</v>
      </c>
      <c r="B228" s="17" t="s">
        <v>9575</v>
      </c>
      <c r="C228" s="20">
        <v>1</v>
      </c>
      <c r="D228" s="18">
        <v>69</v>
      </c>
      <c r="E228" s="20">
        <v>10804950</v>
      </c>
      <c r="F228" s="17" t="s">
        <v>282</v>
      </c>
      <c r="G228" s="19" t="s">
        <v>139</v>
      </c>
      <c r="H228" s="18">
        <v>13.799999999999999</v>
      </c>
      <c r="I228" s="17" t="s">
        <v>358</v>
      </c>
      <c r="J228" s="17" t="s">
        <v>554</v>
      </c>
      <c r="K228" s="17"/>
      <c r="L228" s="17"/>
      <c r="M228" s="16" t="str">
        <f>HYPERLINK("http://slimages.macys.com/is/image/MCY/19205603 ")</f>
        <v xml:space="preserve">http://slimages.macys.com/is/image/MCY/19205603 </v>
      </c>
      <c r="N228" s="30"/>
    </row>
    <row r="229" spans="1:14" ht="60" x14ac:dyDescent="0.25">
      <c r="A229" s="19" t="s">
        <v>9574</v>
      </c>
      <c r="B229" s="17" t="s">
        <v>9573</v>
      </c>
      <c r="C229" s="20">
        <v>1</v>
      </c>
      <c r="D229" s="18">
        <v>51.75</v>
      </c>
      <c r="E229" s="20">
        <v>10807729</v>
      </c>
      <c r="F229" s="17" t="s">
        <v>1356</v>
      </c>
      <c r="G229" s="19"/>
      <c r="H229" s="18">
        <v>13.799999999999999</v>
      </c>
      <c r="I229" s="17" t="s">
        <v>33</v>
      </c>
      <c r="J229" s="17" t="s">
        <v>143</v>
      </c>
      <c r="K229" s="17"/>
      <c r="L229" s="17"/>
      <c r="M229" s="16" t="str">
        <f>HYPERLINK("http://slimages.macys.com/is/image/MCY/19286728 ")</f>
        <v xml:space="preserve">http://slimages.macys.com/is/image/MCY/19286728 </v>
      </c>
      <c r="N229" s="30"/>
    </row>
    <row r="230" spans="1:14" ht="60" x14ac:dyDescent="0.25">
      <c r="A230" s="19" t="s">
        <v>6592</v>
      </c>
      <c r="B230" s="17" t="s">
        <v>6591</v>
      </c>
      <c r="C230" s="20">
        <v>1</v>
      </c>
      <c r="D230" s="18">
        <v>89</v>
      </c>
      <c r="E230" s="20">
        <v>2321709</v>
      </c>
      <c r="F230" s="17" t="s">
        <v>23</v>
      </c>
      <c r="G230" s="19" t="s">
        <v>17</v>
      </c>
      <c r="H230" s="18">
        <v>13.666666666666666</v>
      </c>
      <c r="I230" s="17" t="s">
        <v>80</v>
      </c>
      <c r="J230" s="17" t="s">
        <v>293</v>
      </c>
      <c r="K230" s="17"/>
      <c r="L230" s="17"/>
      <c r="M230" s="16" t="str">
        <f>HYPERLINK("http://slimages.macys.com/is/image/MCY/18947620 ")</f>
        <v xml:space="preserve">http://slimages.macys.com/is/image/MCY/18947620 </v>
      </c>
      <c r="N230" s="30"/>
    </row>
    <row r="231" spans="1:14" ht="60" x14ac:dyDescent="0.25">
      <c r="A231" s="19" t="s">
        <v>5088</v>
      </c>
      <c r="B231" s="17" t="s">
        <v>5087</v>
      </c>
      <c r="C231" s="20">
        <v>1</v>
      </c>
      <c r="D231" s="18">
        <v>79</v>
      </c>
      <c r="E231" s="20" t="s">
        <v>3669</v>
      </c>
      <c r="F231" s="17" t="s">
        <v>216</v>
      </c>
      <c r="G231" s="19" t="s">
        <v>5086</v>
      </c>
      <c r="H231" s="18">
        <v>13.666666666666666</v>
      </c>
      <c r="I231" s="17" t="s">
        <v>550</v>
      </c>
      <c r="J231" s="17" t="s">
        <v>1090</v>
      </c>
      <c r="K231" s="17"/>
      <c r="L231" s="17"/>
      <c r="M231" s="16" t="str">
        <f>HYPERLINK("http://slimages.macys.com/is/image/MCY/17942386 ")</f>
        <v xml:space="preserve">http://slimages.macys.com/is/image/MCY/17942386 </v>
      </c>
      <c r="N231" s="30"/>
    </row>
    <row r="232" spans="1:14" ht="60" x14ac:dyDescent="0.25">
      <c r="A232" s="19" t="s">
        <v>9572</v>
      </c>
      <c r="B232" s="17" t="s">
        <v>9571</v>
      </c>
      <c r="C232" s="20">
        <v>1</v>
      </c>
      <c r="D232" s="18">
        <v>89</v>
      </c>
      <c r="E232" s="20">
        <v>2321709</v>
      </c>
      <c r="F232" s="17" t="s">
        <v>23</v>
      </c>
      <c r="G232" s="19" t="s">
        <v>101</v>
      </c>
      <c r="H232" s="18">
        <v>13.666666666666666</v>
      </c>
      <c r="I232" s="17" t="s">
        <v>80</v>
      </c>
      <c r="J232" s="17" t="s">
        <v>293</v>
      </c>
      <c r="K232" s="17"/>
      <c r="L232" s="17"/>
      <c r="M232" s="16" t="str">
        <f>HYPERLINK("http://slimages.macys.com/is/image/MCY/18947620 ")</f>
        <v xml:space="preserve">http://slimages.macys.com/is/image/MCY/18947620 </v>
      </c>
      <c r="N232" s="30"/>
    </row>
    <row r="233" spans="1:14" ht="60" x14ac:dyDescent="0.25">
      <c r="A233" s="19" t="s">
        <v>9570</v>
      </c>
      <c r="B233" s="17" t="s">
        <v>9569</v>
      </c>
      <c r="C233" s="20">
        <v>1</v>
      </c>
      <c r="D233" s="18">
        <v>79</v>
      </c>
      <c r="E233" s="20" t="s">
        <v>3669</v>
      </c>
      <c r="F233" s="17" t="s">
        <v>216</v>
      </c>
      <c r="G233" s="19" t="s">
        <v>5939</v>
      </c>
      <c r="H233" s="18">
        <v>13.666666666666666</v>
      </c>
      <c r="I233" s="17" t="s">
        <v>550</v>
      </c>
      <c r="J233" s="17" t="s">
        <v>1090</v>
      </c>
      <c r="K233" s="17"/>
      <c r="L233" s="17"/>
      <c r="M233" s="16" t="str">
        <f>HYPERLINK("http://slimages.macys.com/is/image/MCY/17942386 ")</f>
        <v xml:space="preserve">http://slimages.macys.com/is/image/MCY/17942386 </v>
      </c>
      <c r="N233" s="30"/>
    </row>
    <row r="234" spans="1:14" ht="60" x14ac:dyDescent="0.25">
      <c r="A234" s="19" t="s">
        <v>9568</v>
      </c>
      <c r="B234" s="17" t="s">
        <v>9567</v>
      </c>
      <c r="C234" s="20">
        <v>1</v>
      </c>
      <c r="D234" s="18">
        <v>69</v>
      </c>
      <c r="E234" s="20" t="s">
        <v>9566</v>
      </c>
      <c r="F234" s="17" t="s">
        <v>58</v>
      </c>
      <c r="G234" s="19" t="s">
        <v>69</v>
      </c>
      <c r="H234" s="18">
        <v>13.526666666666667</v>
      </c>
      <c r="I234" s="17" t="s">
        <v>492</v>
      </c>
      <c r="J234" s="17" t="s">
        <v>491</v>
      </c>
      <c r="K234" s="17"/>
      <c r="L234" s="17"/>
      <c r="M234" s="16" t="str">
        <f>HYPERLINK("http://slimages.macys.com/is/image/MCY/19221577 ")</f>
        <v xml:space="preserve">http://slimages.macys.com/is/image/MCY/19221577 </v>
      </c>
      <c r="N234" s="30"/>
    </row>
    <row r="235" spans="1:14" ht="60" x14ac:dyDescent="0.25">
      <c r="A235" s="19" t="s">
        <v>9565</v>
      </c>
      <c r="B235" s="17" t="s">
        <v>9564</v>
      </c>
      <c r="C235" s="20">
        <v>1</v>
      </c>
      <c r="D235" s="18">
        <v>50</v>
      </c>
      <c r="E235" s="20" t="s">
        <v>8440</v>
      </c>
      <c r="F235" s="17" t="s">
        <v>23</v>
      </c>
      <c r="G235" s="19" t="s">
        <v>101</v>
      </c>
      <c r="H235" s="18">
        <v>13.466666666666667</v>
      </c>
      <c r="I235" s="17" t="s">
        <v>16</v>
      </c>
      <c r="J235" s="17" t="s">
        <v>15</v>
      </c>
      <c r="K235" s="17"/>
      <c r="L235" s="17"/>
      <c r="M235" s="16" t="str">
        <f>HYPERLINK("http://slimages.macys.com/is/image/MCY/17874233 ")</f>
        <v xml:space="preserve">http://slimages.macys.com/is/image/MCY/17874233 </v>
      </c>
      <c r="N235" s="30"/>
    </row>
    <row r="236" spans="1:14" ht="60" x14ac:dyDescent="0.25">
      <c r="A236" s="19" t="s">
        <v>9563</v>
      </c>
      <c r="B236" s="17" t="s">
        <v>9562</v>
      </c>
      <c r="C236" s="20">
        <v>1</v>
      </c>
      <c r="D236" s="18">
        <v>50</v>
      </c>
      <c r="E236" s="20" t="s">
        <v>8440</v>
      </c>
      <c r="F236" s="17" t="s">
        <v>51</v>
      </c>
      <c r="G236" s="19" t="s">
        <v>101</v>
      </c>
      <c r="H236" s="18">
        <v>13.466666666666667</v>
      </c>
      <c r="I236" s="17" t="s">
        <v>16</v>
      </c>
      <c r="J236" s="17" t="s">
        <v>15</v>
      </c>
      <c r="K236" s="17"/>
      <c r="L236" s="17"/>
      <c r="M236" s="16" t="str">
        <f>HYPERLINK("http://slimages.macys.com/is/image/MCY/17874233 ")</f>
        <v xml:space="preserve">http://slimages.macys.com/is/image/MCY/17874233 </v>
      </c>
      <c r="N236" s="30"/>
    </row>
    <row r="237" spans="1:14" ht="60" x14ac:dyDescent="0.25">
      <c r="A237" s="19" t="s">
        <v>8444</v>
      </c>
      <c r="B237" s="17" t="s">
        <v>8443</v>
      </c>
      <c r="C237" s="20">
        <v>1</v>
      </c>
      <c r="D237" s="18">
        <v>50</v>
      </c>
      <c r="E237" s="20" t="s">
        <v>8440</v>
      </c>
      <c r="F237" s="17" t="s">
        <v>51</v>
      </c>
      <c r="G237" s="19" t="s">
        <v>17</v>
      </c>
      <c r="H237" s="18">
        <v>13.466666666666667</v>
      </c>
      <c r="I237" s="17" t="s">
        <v>16</v>
      </c>
      <c r="J237" s="17" t="s">
        <v>15</v>
      </c>
      <c r="K237" s="17"/>
      <c r="L237" s="17"/>
      <c r="M237" s="16" t="str">
        <f>HYPERLINK("http://slimages.macys.com/is/image/MCY/17874233 ")</f>
        <v xml:space="preserve">http://slimages.macys.com/is/image/MCY/17874233 </v>
      </c>
      <c r="N237" s="30"/>
    </row>
    <row r="238" spans="1:14" ht="60" x14ac:dyDescent="0.25">
      <c r="A238" s="19" t="s">
        <v>8442</v>
      </c>
      <c r="B238" s="17" t="s">
        <v>8441</v>
      </c>
      <c r="C238" s="20">
        <v>1</v>
      </c>
      <c r="D238" s="18">
        <v>50</v>
      </c>
      <c r="E238" s="20" t="s">
        <v>8440</v>
      </c>
      <c r="F238" s="17" t="s">
        <v>23</v>
      </c>
      <c r="G238" s="19" t="s">
        <v>17</v>
      </c>
      <c r="H238" s="18">
        <v>13.466666666666667</v>
      </c>
      <c r="I238" s="17" t="s">
        <v>16</v>
      </c>
      <c r="J238" s="17" t="s">
        <v>15</v>
      </c>
      <c r="K238" s="17"/>
      <c r="L238" s="17"/>
      <c r="M238" s="16" t="str">
        <f>HYPERLINK("http://slimages.macys.com/is/image/MCY/17874233 ")</f>
        <v xml:space="preserve">http://slimages.macys.com/is/image/MCY/17874233 </v>
      </c>
      <c r="N238" s="30"/>
    </row>
    <row r="239" spans="1:14" ht="60" x14ac:dyDescent="0.25">
      <c r="A239" s="19" t="s">
        <v>9561</v>
      </c>
      <c r="B239" s="17" t="s">
        <v>9560</v>
      </c>
      <c r="C239" s="20">
        <v>1</v>
      </c>
      <c r="D239" s="18">
        <v>69</v>
      </c>
      <c r="E239" s="20">
        <v>10760180</v>
      </c>
      <c r="F239" s="17" t="s">
        <v>85</v>
      </c>
      <c r="G239" s="19" t="s">
        <v>62</v>
      </c>
      <c r="H239" s="18">
        <v>13.34</v>
      </c>
      <c r="I239" s="17" t="s">
        <v>120</v>
      </c>
      <c r="J239" s="17" t="s">
        <v>119</v>
      </c>
      <c r="K239" s="17"/>
      <c r="L239" s="17"/>
      <c r="M239" s="16" t="str">
        <f>HYPERLINK("http://slimages.macys.com/is/image/MCY/18449917 ")</f>
        <v xml:space="preserve">http://slimages.macys.com/is/image/MCY/18449917 </v>
      </c>
      <c r="N239" s="30"/>
    </row>
    <row r="240" spans="1:14" ht="60" x14ac:dyDescent="0.25">
      <c r="A240" s="19" t="s">
        <v>9559</v>
      </c>
      <c r="B240" s="17" t="s">
        <v>9558</v>
      </c>
      <c r="C240" s="20">
        <v>1</v>
      </c>
      <c r="D240" s="18">
        <v>69.5</v>
      </c>
      <c r="E240" s="20" t="s">
        <v>9557</v>
      </c>
      <c r="F240" s="17" t="s">
        <v>23</v>
      </c>
      <c r="G240" s="19" t="s">
        <v>271</v>
      </c>
      <c r="H240" s="18">
        <v>13.206666666666667</v>
      </c>
      <c r="I240" s="17" t="s">
        <v>540</v>
      </c>
      <c r="J240" s="17" t="s">
        <v>105</v>
      </c>
      <c r="K240" s="17"/>
      <c r="L240" s="17"/>
      <c r="M240" s="16" t="str">
        <f>HYPERLINK("http://slimages.macys.com/is/image/MCY/18889454 ")</f>
        <v xml:space="preserve">http://slimages.macys.com/is/image/MCY/18889454 </v>
      </c>
      <c r="N240" s="30"/>
    </row>
    <row r="241" spans="1:14" ht="60" x14ac:dyDescent="0.25">
      <c r="A241" s="19" t="s">
        <v>9556</v>
      </c>
      <c r="B241" s="17" t="s">
        <v>9555</v>
      </c>
      <c r="C241" s="20">
        <v>1</v>
      </c>
      <c r="D241" s="18">
        <v>60</v>
      </c>
      <c r="E241" s="20" t="s">
        <v>9554</v>
      </c>
      <c r="F241" s="17" t="s">
        <v>149</v>
      </c>
      <c r="G241" s="19" t="s">
        <v>69</v>
      </c>
      <c r="H241" s="18">
        <v>13.200000000000001</v>
      </c>
      <c r="I241" s="17" t="s">
        <v>158</v>
      </c>
      <c r="J241" s="17" t="s">
        <v>3005</v>
      </c>
      <c r="K241" s="17" t="s">
        <v>637</v>
      </c>
      <c r="L241" s="17" t="s">
        <v>1724</v>
      </c>
      <c r="M241" s="16" t="str">
        <f>HYPERLINK("http://images.bloomingdales.com/is/image/BLM/11388484 ")</f>
        <v xml:space="preserve">http://images.bloomingdales.com/is/image/BLM/11388484 </v>
      </c>
      <c r="N241" s="30"/>
    </row>
    <row r="242" spans="1:14" ht="60" x14ac:dyDescent="0.25">
      <c r="A242" s="19" t="s">
        <v>9553</v>
      </c>
      <c r="B242" s="17" t="s">
        <v>9552</v>
      </c>
      <c r="C242" s="20">
        <v>1</v>
      </c>
      <c r="D242" s="18">
        <v>79</v>
      </c>
      <c r="E242" s="20" t="s">
        <v>3646</v>
      </c>
      <c r="F242" s="17" t="s">
        <v>91</v>
      </c>
      <c r="G242" s="19" t="s">
        <v>43</v>
      </c>
      <c r="H242" s="18">
        <v>13.166666666666668</v>
      </c>
      <c r="I242" s="17" t="s">
        <v>129</v>
      </c>
      <c r="J242" s="17" t="s">
        <v>128</v>
      </c>
      <c r="K242" s="17"/>
      <c r="L242" s="17"/>
      <c r="M242" s="16" t="str">
        <f>HYPERLINK("http://slimages.macys.com/is/image/MCY/18610067 ")</f>
        <v xml:space="preserve">http://slimages.macys.com/is/image/MCY/18610067 </v>
      </c>
      <c r="N242" s="30"/>
    </row>
    <row r="243" spans="1:14" ht="60" x14ac:dyDescent="0.25">
      <c r="A243" s="19" t="s">
        <v>9551</v>
      </c>
      <c r="B243" s="17" t="s">
        <v>9550</v>
      </c>
      <c r="C243" s="20">
        <v>1</v>
      </c>
      <c r="D243" s="18">
        <v>79</v>
      </c>
      <c r="E243" s="20" t="s">
        <v>3651</v>
      </c>
      <c r="F243" s="17" t="s">
        <v>58</v>
      </c>
      <c r="G243" s="19" t="s">
        <v>17</v>
      </c>
      <c r="H243" s="18">
        <v>13.166666666666668</v>
      </c>
      <c r="I243" s="17" t="s">
        <v>129</v>
      </c>
      <c r="J243" s="17" t="s">
        <v>2842</v>
      </c>
      <c r="K243" s="17"/>
      <c r="L243" s="17"/>
      <c r="M243" s="16" t="str">
        <f>HYPERLINK("http://slimages.macys.com/is/image/MCY/18965884 ")</f>
        <v xml:space="preserve">http://slimages.macys.com/is/image/MCY/18965884 </v>
      </c>
      <c r="N243" s="30"/>
    </row>
    <row r="244" spans="1:14" ht="60" x14ac:dyDescent="0.25">
      <c r="A244" s="19" t="s">
        <v>9549</v>
      </c>
      <c r="B244" s="17" t="s">
        <v>9548</v>
      </c>
      <c r="C244" s="20">
        <v>1</v>
      </c>
      <c r="D244" s="18">
        <v>79</v>
      </c>
      <c r="E244" s="20" t="s">
        <v>3651</v>
      </c>
      <c r="F244" s="17" t="s">
        <v>2284</v>
      </c>
      <c r="G244" s="19" t="s">
        <v>22</v>
      </c>
      <c r="H244" s="18">
        <v>13.166666666666668</v>
      </c>
      <c r="I244" s="17" t="s">
        <v>129</v>
      </c>
      <c r="J244" s="17" t="s">
        <v>2842</v>
      </c>
      <c r="K244" s="17"/>
      <c r="L244" s="17"/>
      <c r="M244" s="16" t="str">
        <f>HYPERLINK("http://slimages.macys.com/is/image/MCY/19194091 ")</f>
        <v xml:space="preserve">http://slimages.macys.com/is/image/MCY/19194091 </v>
      </c>
      <c r="N244" s="30"/>
    </row>
    <row r="245" spans="1:14" ht="72" x14ac:dyDescent="0.25">
      <c r="A245" s="19" t="s">
        <v>9547</v>
      </c>
      <c r="B245" s="17" t="s">
        <v>9546</v>
      </c>
      <c r="C245" s="20">
        <v>1</v>
      </c>
      <c r="D245" s="18">
        <v>79</v>
      </c>
      <c r="E245" s="20">
        <v>7099038</v>
      </c>
      <c r="F245" s="17" t="s">
        <v>149</v>
      </c>
      <c r="G245" s="19" t="s">
        <v>17</v>
      </c>
      <c r="H245" s="18">
        <v>13.166666666666668</v>
      </c>
      <c r="I245" s="17" t="s">
        <v>111</v>
      </c>
      <c r="J245" s="17" t="s">
        <v>110</v>
      </c>
      <c r="K245" s="17" t="s">
        <v>637</v>
      </c>
      <c r="L245" s="17" t="s">
        <v>4469</v>
      </c>
      <c r="M245" s="16" t="str">
        <f>HYPERLINK("http://images.bloomingdales.com/is/image/BLM/10978989 ")</f>
        <v xml:space="preserve">http://images.bloomingdales.com/is/image/BLM/10978989 </v>
      </c>
      <c r="N245" s="30"/>
    </row>
    <row r="246" spans="1:14" ht="60" x14ac:dyDescent="0.25">
      <c r="A246" s="19" t="s">
        <v>9545</v>
      </c>
      <c r="B246" s="17" t="s">
        <v>9544</v>
      </c>
      <c r="C246" s="20">
        <v>1</v>
      </c>
      <c r="D246" s="18">
        <v>79</v>
      </c>
      <c r="E246" s="20">
        <v>8150801</v>
      </c>
      <c r="F246" s="17" t="s">
        <v>164</v>
      </c>
      <c r="G246" s="19" t="s">
        <v>17</v>
      </c>
      <c r="H246" s="18">
        <v>13.166666666666668</v>
      </c>
      <c r="I246" s="17" t="s">
        <v>129</v>
      </c>
      <c r="J246" s="17" t="s">
        <v>128</v>
      </c>
      <c r="K246" s="17"/>
      <c r="L246" s="17"/>
      <c r="M246" s="16" t="str">
        <f>HYPERLINK("http://slimages.macys.com/is/image/MCY/18784936 ")</f>
        <v xml:space="preserve">http://slimages.macys.com/is/image/MCY/18784936 </v>
      </c>
      <c r="N246" s="30"/>
    </row>
    <row r="247" spans="1:14" ht="60" x14ac:dyDescent="0.25">
      <c r="A247" s="19" t="s">
        <v>9543</v>
      </c>
      <c r="B247" s="17" t="s">
        <v>9542</v>
      </c>
      <c r="C247" s="20">
        <v>1</v>
      </c>
      <c r="D247" s="18">
        <v>79</v>
      </c>
      <c r="E247" s="20" t="s">
        <v>9535</v>
      </c>
      <c r="F247" s="17" t="s">
        <v>380</v>
      </c>
      <c r="G247" s="19" t="s">
        <v>22</v>
      </c>
      <c r="H247" s="18">
        <v>13.166666666666668</v>
      </c>
      <c r="I247" s="17" t="s">
        <v>129</v>
      </c>
      <c r="J247" s="17" t="s">
        <v>128</v>
      </c>
      <c r="K247" s="17"/>
      <c r="L247" s="17"/>
      <c r="M247" s="16" t="str">
        <f>HYPERLINK("http://slimages.macys.com/is/image/MCY/19463028 ")</f>
        <v xml:space="preserve">http://slimages.macys.com/is/image/MCY/19463028 </v>
      </c>
      <c r="N247" s="30"/>
    </row>
    <row r="248" spans="1:14" ht="60" x14ac:dyDescent="0.25">
      <c r="A248" s="19" t="s">
        <v>9541</v>
      </c>
      <c r="B248" s="17" t="s">
        <v>9540</v>
      </c>
      <c r="C248" s="20">
        <v>1</v>
      </c>
      <c r="D248" s="18">
        <v>79</v>
      </c>
      <c r="E248" s="20" t="s">
        <v>9539</v>
      </c>
      <c r="F248" s="17" t="s">
        <v>58</v>
      </c>
      <c r="G248" s="19" t="s">
        <v>22</v>
      </c>
      <c r="H248" s="18">
        <v>13.166666666666668</v>
      </c>
      <c r="I248" s="17" t="s">
        <v>129</v>
      </c>
      <c r="J248" s="17" t="s">
        <v>128</v>
      </c>
      <c r="K248" s="17" t="s">
        <v>6964</v>
      </c>
      <c r="L248" s="17" t="s">
        <v>9538</v>
      </c>
      <c r="M248" s="16" t="str">
        <f>HYPERLINK("http://images.bloomingdales.com/is/image/BLM/11504110 ")</f>
        <v xml:space="preserve">http://images.bloomingdales.com/is/image/BLM/11504110 </v>
      </c>
      <c r="N248" s="30"/>
    </row>
    <row r="249" spans="1:14" ht="60" x14ac:dyDescent="0.25">
      <c r="A249" s="19" t="s">
        <v>9537</v>
      </c>
      <c r="B249" s="17" t="s">
        <v>9536</v>
      </c>
      <c r="C249" s="20">
        <v>3</v>
      </c>
      <c r="D249" s="18">
        <v>79</v>
      </c>
      <c r="E249" s="20" t="s">
        <v>9535</v>
      </c>
      <c r="F249" s="17" t="s">
        <v>380</v>
      </c>
      <c r="G249" s="19" t="s">
        <v>101</v>
      </c>
      <c r="H249" s="18">
        <v>13.166666666666668</v>
      </c>
      <c r="I249" s="17" t="s">
        <v>129</v>
      </c>
      <c r="J249" s="17" t="s">
        <v>128</v>
      </c>
      <c r="K249" s="17"/>
      <c r="L249" s="17"/>
      <c r="M249" s="16" t="str">
        <f>HYPERLINK("http://slimages.macys.com/is/image/MCY/19463028 ")</f>
        <v xml:space="preserve">http://slimages.macys.com/is/image/MCY/19463028 </v>
      </c>
      <c r="N249" s="30"/>
    </row>
    <row r="250" spans="1:14" ht="60" x14ac:dyDescent="0.25">
      <c r="A250" s="19" t="s">
        <v>9534</v>
      </c>
      <c r="B250" s="17" t="s">
        <v>9533</v>
      </c>
      <c r="C250" s="20">
        <v>1</v>
      </c>
      <c r="D250" s="18">
        <v>79</v>
      </c>
      <c r="E250" s="20">
        <v>7099038</v>
      </c>
      <c r="F250" s="17" t="s">
        <v>390</v>
      </c>
      <c r="G250" s="19" t="s">
        <v>62</v>
      </c>
      <c r="H250" s="18">
        <v>13.166666666666668</v>
      </c>
      <c r="I250" s="17" t="s">
        <v>111</v>
      </c>
      <c r="J250" s="17" t="s">
        <v>110</v>
      </c>
      <c r="K250" s="17" t="s">
        <v>389</v>
      </c>
      <c r="L250" s="17" t="s">
        <v>388</v>
      </c>
      <c r="M250" s="16" t="str">
        <f>HYPERLINK("http://slimages.macys.com/is/image/MCY/12304764 ")</f>
        <v xml:space="preserve">http://slimages.macys.com/is/image/MCY/12304764 </v>
      </c>
      <c r="N250" s="30"/>
    </row>
    <row r="251" spans="1:14" ht="60" x14ac:dyDescent="0.25">
      <c r="A251" s="19" t="s">
        <v>9532</v>
      </c>
      <c r="B251" s="17" t="s">
        <v>9531</v>
      </c>
      <c r="C251" s="20">
        <v>1</v>
      </c>
      <c r="D251" s="18">
        <v>89</v>
      </c>
      <c r="E251" s="20">
        <v>2360200</v>
      </c>
      <c r="F251" s="17" t="s">
        <v>91</v>
      </c>
      <c r="G251" s="19" t="s">
        <v>50</v>
      </c>
      <c r="H251" s="18">
        <v>13.120000000000001</v>
      </c>
      <c r="I251" s="17" t="s">
        <v>80</v>
      </c>
      <c r="J251" s="17" t="s">
        <v>293</v>
      </c>
      <c r="K251" s="17"/>
      <c r="L251" s="17"/>
      <c r="M251" s="16" t="str">
        <f>HYPERLINK("http://slimages.macys.com/is/image/MCY/18074080 ")</f>
        <v xml:space="preserve">http://slimages.macys.com/is/image/MCY/18074080 </v>
      </c>
      <c r="N251" s="30"/>
    </row>
    <row r="252" spans="1:14" ht="60" x14ac:dyDescent="0.25">
      <c r="A252" s="19" t="s">
        <v>9530</v>
      </c>
      <c r="B252" s="17" t="s">
        <v>9529</v>
      </c>
      <c r="C252" s="20">
        <v>1</v>
      </c>
      <c r="D252" s="18">
        <v>69.5</v>
      </c>
      <c r="E252" s="20" t="s">
        <v>8409</v>
      </c>
      <c r="F252" s="17" t="s">
        <v>91</v>
      </c>
      <c r="G252" s="19" t="s">
        <v>74</v>
      </c>
      <c r="H252" s="18">
        <v>13.086666666666668</v>
      </c>
      <c r="I252" s="17" t="s">
        <v>56</v>
      </c>
      <c r="J252" s="17" t="s">
        <v>55</v>
      </c>
      <c r="K252" s="17"/>
      <c r="L252" s="17"/>
      <c r="M252" s="16" t="str">
        <f>HYPERLINK("http://slimages.macys.com/is/image/MCY/18913999 ")</f>
        <v xml:space="preserve">http://slimages.macys.com/is/image/MCY/18913999 </v>
      </c>
      <c r="N252" s="30"/>
    </row>
    <row r="253" spans="1:14" ht="60" x14ac:dyDescent="0.25">
      <c r="A253" s="19" t="s">
        <v>9528</v>
      </c>
      <c r="B253" s="17" t="s">
        <v>9527</v>
      </c>
      <c r="C253" s="20">
        <v>1</v>
      </c>
      <c r="D253" s="18">
        <v>69.5</v>
      </c>
      <c r="E253" s="20" t="s">
        <v>4426</v>
      </c>
      <c r="F253" s="17" t="s">
        <v>272</v>
      </c>
      <c r="G253" s="19" t="s">
        <v>197</v>
      </c>
      <c r="H253" s="18">
        <v>13.086666666666668</v>
      </c>
      <c r="I253" s="17" t="s">
        <v>56</v>
      </c>
      <c r="J253" s="17" t="s">
        <v>55</v>
      </c>
      <c r="K253" s="17" t="s">
        <v>389</v>
      </c>
      <c r="L253" s="17" t="s">
        <v>388</v>
      </c>
      <c r="M253" s="16" t="str">
        <f>HYPERLINK("http://slimages.macys.com/is/image/MCY/12803377 ")</f>
        <v xml:space="preserve">http://slimages.macys.com/is/image/MCY/12803377 </v>
      </c>
      <c r="N253" s="30"/>
    </row>
    <row r="254" spans="1:14" ht="60" x14ac:dyDescent="0.25">
      <c r="A254" s="19" t="s">
        <v>9526</v>
      </c>
      <c r="B254" s="17" t="s">
        <v>9525</v>
      </c>
      <c r="C254" s="20">
        <v>1</v>
      </c>
      <c r="D254" s="18">
        <v>69.5</v>
      </c>
      <c r="E254" s="20" t="s">
        <v>9524</v>
      </c>
      <c r="F254" s="17" t="s">
        <v>206</v>
      </c>
      <c r="G254" s="19" t="s">
        <v>69</v>
      </c>
      <c r="H254" s="18">
        <v>13.086666666666668</v>
      </c>
      <c r="I254" s="17" t="s">
        <v>56</v>
      </c>
      <c r="J254" s="17" t="s">
        <v>55</v>
      </c>
      <c r="K254" s="17"/>
      <c r="L254" s="17"/>
      <c r="M254" s="16" t="str">
        <f>HYPERLINK("http://slimages.macys.com/is/image/MCY/18853165 ")</f>
        <v xml:space="preserve">http://slimages.macys.com/is/image/MCY/18853165 </v>
      </c>
      <c r="N254" s="30"/>
    </row>
    <row r="255" spans="1:14" ht="60" x14ac:dyDescent="0.25">
      <c r="A255" s="19" t="s">
        <v>9523</v>
      </c>
      <c r="B255" s="17" t="s">
        <v>9522</v>
      </c>
      <c r="C255" s="20">
        <v>1</v>
      </c>
      <c r="D255" s="18">
        <v>69.5</v>
      </c>
      <c r="E255" s="20" t="s">
        <v>9521</v>
      </c>
      <c r="F255" s="17" t="s">
        <v>23</v>
      </c>
      <c r="G255" s="19" t="s">
        <v>62</v>
      </c>
      <c r="H255" s="18">
        <v>13.086666666666668</v>
      </c>
      <c r="I255" s="17" t="s">
        <v>68</v>
      </c>
      <c r="J255" s="17" t="s">
        <v>67</v>
      </c>
      <c r="K255" s="17"/>
      <c r="L255" s="17"/>
      <c r="M255" s="16" t="str">
        <f>HYPERLINK("http://slimages.macys.com/is/image/MCY/16803875 ")</f>
        <v xml:space="preserve">http://slimages.macys.com/is/image/MCY/16803875 </v>
      </c>
      <c r="N255" s="30"/>
    </row>
    <row r="256" spans="1:14" ht="60" x14ac:dyDescent="0.25">
      <c r="A256" s="19" t="s">
        <v>9520</v>
      </c>
      <c r="B256" s="17" t="s">
        <v>9519</v>
      </c>
      <c r="C256" s="20">
        <v>1</v>
      </c>
      <c r="D256" s="18">
        <v>69.5</v>
      </c>
      <c r="E256" s="20" t="s">
        <v>9518</v>
      </c>
      <c r="F256" s="17" t="s">
        <v>81</v>
      </c>
      <c r="G256" s="19" t="s">
        <v>74</v>
      </c>
      <c r="H256" s="18">
        <v>13.086666666666668</v>
      </c>
      <c r="I256" s="17" t="s">
        <v>68</v>
      </c>
      <c r="J256" s="17" t="s">
        <v>67</v>
      </c>
      <c r="K256" s="17"/>
      <c r="L256" s="17"/>
      <c r="M256" s="16" t="str">
        <f>HYPERLINK("http://slimages.macys.com/is/image/MCY/18706193 ")</f>
        <v xml:space="preserve">http://slimages.macys.com/is/image/MCY/18706193 </v>
      </c>
      <c r="N256" s="30"/>
    </row>
    <row r="257" spans="1:14" ht="60" x14ac:dyDescent="0.25">
      <c r="A257" s="19" t="s">
        <v>5073</v>
      </c>
      <c r="B257" s="17" t="s">
        <v>5072</v>
      </c>
      <c r="C257" s="20">
        <v>1</v>
      </c>
      <c r="D257" s="18">
        <v>69.5</v>
      </c>
      <c r="E257" s="20" t="s">
        <v>5071</v>
      </c>
      <c r="F257" s="17" t="s">
        <v>28</v>
      </c>
      <c r="G257" s="19" t="s">
        <v>69</v>
      </c>
      <c r="H257" s="18">
        <v>13.086666666666668</v>
      </c>
      <c r="I257" s="17" t="s">
        <v>68</v>
      </c>
      <c r="J257" s="17" t="s">
        <v>67</v>
      </c>
      <c r="K257" s="17"/>
      <c r="L257" s="17"/>
      <c r="M257" s="16" t="str">
        <f>HYPERLINK("http://slimages.macys.com/is/image/MCY/18856825 ")</f>
        <v xml:space="preserve">http://slimages.macys.com/is/image/MCY/18856825 </v>
      </c>
      <c r="N257" s="30"/>
    </row>
    <row r="258" spans="1:14" ht="60" x14ac:dyDescent="0.25">
      <c r="A258" s="19" t="s">
        <v>9517</v>
      </c>
      <c r="B258" s="17" t="s">
        <v>9516</v>
      </c>
      <c r="C258" s="20">
        <v>1</v>
      </c>
      <c r="D258" s="18">
        <v>69.5</v>
      </c>
      <c r="E258" s="20" t="s">
        <v>8403</v>
      </c>
      <c r="F258" s="17" t="s">
        <v>508</v>
      </c>
      <c r="G258" s="19" t="s">
        <v>96</v>
      </c>
      <c r="H258" s="18">
        <v>13.086666666666668</v>
      </c>
      <c r="I258" s="17" t="s">
        <v>68</v>
      </c>
      <c r="J258" s="17" t="s">
        <v>67</v>
      </c>
      <c r="K258" s="17"/>
      <c r="L258" s="17"/>
      <c r="M258" s="16" t="str">
        <f>HYPERLINK("http://slimages.macys.com/is/image/MCY/19179896 ")</f>
        <v xml:space="preserve">http://slimages.macys.com/is/image/MCY/19179896 </v>
      </c>
      <c r="N258" s="30"/>
    </row>
    <row r="259" spans="1:14" ht="60" x14ac:dyDescent="0.25">
      <c r="A259" s="19" t="s">
        <v>9515</v>
      </c>
      <c r="B259" s="17" t="s">
        <v>9514</v>
      </c>
      <c r="C259" s="20">
        <v>1</v>
      </c>
      <c r="D259" s="18">
        <v>69.5</v>
      </c>
      <c r="E259" s="20" t="s">
        <v>3598</v>
      </c>
      <c r="F259" s="17" t="s">
        <v>1536</v>
      </c>
      <c r="G259" s="19" t="s">
        <v>69</v>
      </c>
      <c r="H259" s="18">
        <v>13.086666666666668</v>
      </c>
      <c r="I259" s="17" t="s">
        <v>68</v>
      </c>
      <c r="J259" s="17" t="s">
        <v>67</v>
      </c>
      <c r="K259" s="17"/>
      <c r="L259" s="17"/>
      <c r="M259" s="16" t="str">
        <f>HYPERLINK("http://slimages.macys.com/is/image/MCY/19178960 ")</f>
        <v xml:space="preserve">http://slimages.macys.com/is/image/MCY/19178960 </v>
      </c>
      <c r="N259" s="30"/>
    </row>
    <row r="260" spans="1:14" ht="60" x14ac:dyDescent="0.25">
      <c r="A260" s="19" t="s">
        <v>8408</v>
      </c>
      <c r="B260" s="17" t="s">
        <v>8407</v>
      </c>
      <c r="C260" s="20">
        <v>1</v>
      </c>
      <c r="D260" s="18">
        <v>69.5</v>
      </c>
      <c r="E260" s="20" t="s">
        <v>8406</v>
      </c>
      <c r="F260" s="17" t="s">
        <v>206</v>
      </c>
      <c r="G260" s="19" t="s">
        <v>197</v>
      </c>
      <c r="H260" s="18">
        <v>13.086666666666668</v>
      </c>
      <c r="I260" s="17" t="s">
        <v>68</v>
      </c>
      <c r="J260" s="17" t="s">
        <v>67</v>
      </c>
      <c r="K260" s="17"/>
      <c r="L260" s="17"/>
      <c r="M260" s="16" t="str">
        <f>HYPERLINK("http://slimages.macys.com/is/image/MCY/19180526 ")</f>
        <v xml:space="preserve">http://slimages.macys.com/is/image/MCY/19180526 </v>
      </c>
      <c r="N260" s="30"/>
    </row>
    <row r="261" spans="1:14" ht="60" x14ac:dyDescent="0.25">
      <c r="A261" s="19" t="s">
        <v>9513</v>
      </c>
      <c r="B261" s="17" t="s">
        <v>9512</v>
      </c>
      <c r="C261" s="20">
        <v>2</v>
      </c>
      <c r="D261" s="18">
        <v>69.5</v>
      </c>
      <c r="E261" s="20" t="s">
        <v>9501</v>
      </c>
      <c r="F261" s="17" t="s">
        <v>206</v>
      </c>
      <c r="G261" s="19" t="s">
        <v>139</v>
      </c>
      <c r="H261" s="18">
        <v>13.086666666666668</v>
      </c>
      <c r="I261" s="17" t="s">
        <v>1891</v>
      </c>
      <c r="J261" s="17" t="s">
        <v>67</v>
      </c>
      <c r="K261" s="17"/>
      <c r="L261" s="17"/>
      <c r="M261" s="16" t="str">
        <f>HYPERLINK("http://slimages.macys.com/is/image/MCY/18733945 ")</f>
        <v xml:space="preserve">http://slimages.macys.com/is/image/MCY/18733945 </v>
      </c>
      <c r="N261" s="30"/>
    </row>
    <row r="262" spans="1:14" ht="60" x14ac:dyDescent="0.25">
      <c r="A262" s="19" t="s">
        <v>9511</v>
      </c>
      <c r="B262" s="17" t="s">
        <v>9510</v>
      </c>
      <c r="C262" s="20">
        <v>3</v>
      </c>
      <c r="D262" s="18">
        <v>69.5</v>
      </c>
      <c r="E262" s="20" t="s">
        <v>9501</v>
      </c>
      <c r="F262" s="17" t="s">
        <v>206</v>
      </c>
      <c r="G262" s="19" t="s">
        <v>271</v>
      </c>
      <c r="H262" s="18">
        <v>13.086666666666668</v>
      </c>
      <c r="I262" s="17" t="s">
        <v>1891</v>
      </c>
      <c r="J262" s="17" t="s">
        <v>67</v>
      </c>
      <c r="K262" s="17"/>
      <c r="L262" s="17"/>
      <c r="M262" s="16" t="str">
        <f>HYPERLINK("http://slimages.macys.com/is/image/MCY/18733945 ")</f>
        <v xml:space="preserve">http://slimages.macys.com/is/image/MCY/18733945 </v>
      </c>
      <c r="N262" s="30"/>
    </row>
    <row r="263" spans="1:14" ht="60" x14ac:dyDescent="0.25">
      <c r="A263" s="19" t="s">
        <v>9509</v>
      </c>
      <c r="B263" s="17" t="s">
        <v>9508</v>
      </c>
      <c r="C263" s="20">
        <v>2</v>
      </c>
      <c r="D263" s="18">
        <v>69.5</v>
      </c>
      <c r="E263" s="20" t="s">
        <v>3601</v>
      </c>
      <c r="F263" s="17" t="s">
        <v>140</v>
      </c>
      <c r="G263" s="19" t="s">
        <v>139</v>
      </c>
      <c r="H263" s="18">
        <v>13.086666666666668</v>
      </c>
      <c r="I263" s="17" t="s">
        <v>1891</v>
      </c>
      <c r="J263" s="17" t="s">
        <v>67</v>
      </c>
      <c r="K263" s="17"/>
      <c r="L263" s="17"/>
      <c r="M263" s="16" t="str">
        <f>HYPERLINK("http://slimages.macys.com/is/image/MCY/18981762 ")</f>
        <v xml:space="preserve">http://slimages.macys.com/is/image/MCY/18981762 </v>
      </c>
      <c r="N263" s="30"/>
    </row>
    <row r="264" spans="1:14" ht="60" x14ac:dyDescent="0.25">
      <c r="A264" s="19" t="s">
        <v>9507</v>
      </c>
      <c r="B264" s="17" t="s">
        <v>9506</v>
      </c>
      <c r="C264" s="20">
        <v>1</v>
      </c>
      <c r="D264" s="18">
        <v>69.5</v>
      </c>
      <c r="E264" s="20" t="s">
        <v>9501</v>
      </c>
      <c r="F264" s="17" t="s">
        <v>206</v>
      </c>
      <c r="G264" s="19"/>
      <c r="H264" s="18">
        <v>13.086666666666668</v>
      </c>
      <c r="I264" s="17" t="s">
        <v>1891</v>
      </c>
      <c r="J264" s="17" t="s">
        <v>67</v>
      </c>
      <c r="K264" s="17"/>
      <c r="L264" s="17"/>
      <c r="M264" s="16" t="str">
        <f>HYPERLINK("http://slimages.macys.com/is/image/MCY/18733945 ")</f>
        <v xml:space="preserve">http://slimages.macys.com/is/image/MCY/18733945 </v>
      </c>
      <c r="N264" s="30"/>
    </row>
    <row r="265" spans="1:14" ht="60" x14ac:dyDescent="0.25">
      <c r="A265" s="19" t="s">
        <v>9505</v>
      </c>
      <c r="B265" s="17" t="s">
        <v>9504</v>
      </c>
      <c r="C265" s="20">
        <v>1</v>
      </c>
      <c r="D265" s="18">
        <v>69.5</v>
      </c>
      <c r="E265" s="20" t="s">
        <v>8397</v>
      </c>
      <c r="F265" s="17" t="s">
        <v>63</v>
      </c>
      <c r="G265" s="19" t="s">
        <v>197</v>
      </c>
      <c r="H265" s="18">
        <v>13.086666666666668</v>
      </c>
      <c r="I265" s="17" t="s">
        <v>56</v>
      </c>
      <c r="J265" s="17" t="s">
        <v>55</v>
      </c>
      <c r="K265" s="17"/>
      <c r="L265" s="17"/>
      <c r="M265" s="16" t="str">
        <f>HYPERLINK("http://slimages.macys.com/is/image/MCY/19018389 ")</f>
        <v xml:space="preserve">http://slimages.macys.com/is/image/MCY/19018389 </v>
      </c>
      <c r="N265" s="30"/>
    </row>
    <row r="266" spans="1:14" ht="60" x14ac:dyDescent="0.25">
      <c r="A266" s="19" t="s">
        <v>9503</v>
      </c>
      <c r="B266" s="17" t="s">
        <v>9502</v>
      </c>
      <c r="C266" s="20">
        <v>1</v>
      </c>
      <c r="D266" s="18">
        <v>69.5</v>
      </c>
      <c r="E266" s="20" t="s">
        <v>9501</v>
      </c>
      <c r="F266" s="17" t="s">
        <v>206</v>
      </c>
      <c r="G266" s="19" t="s">
        <v>351</v>
      </c>
      <c r="H266" s="18">
        <v>13.086666666666668</v>
      </c>
      <c r="I266" s="17" t="s">
        <v>1891</v>
      </c>
      <c r="J266" s="17" t="s">
        <v>67</v>
      </c>
      <c r="K266" s="17"/>
      <c r="L266" s="17"/>
      <c r="M266" s="16" t="str">
        <f>HYPERLINK("http://slimages.macys.com/is/image/MCY/18733945 ")</f>
        <v xml:space="preserve">http://slimages.macys.com/is/image/MCY/18733945 </v>
      </c>
      <c r="N266" s="30"/>
    </row>
    <row r="267" spans="1:14" ht="60" x14ac:dyDescent="0.25">
      <c r="A267" s="19" t="s">
        <v>9500</v>
      </c>
      <c r="B267" s="17" t="s">
        <v>9499</v>
      </c>
      <c r="C267" s="20">
        <v>1</v>
      </c>
      <c r="D267" s="18">
        <v>59</v>
      </c>
      <c r="E267" s="20" t="s">
        <v>9498</v>
      </c>
      <c r="F267" s="17" t="s">
        <v>1526</v>
      </c>
      <c r="G267" s="19" t="s">
        <v>22</v>
      </c>
      <c r="H267" s="18">
        <v>13.020000000000001</v>
      </c>
      <c r="I267" s="17" t="s">
        <v>49</v>
      </c>
      <c r="J267" s="17" t="s">
        <v>48</v>
      </c>
      <c r="K267" s="17"/>
      <c r="L267" s="17"/>
      <c r="M267" s="16" t="str">
        <f>HYPERLINK("http://slimages.macys.com/is/image/MCY/18609264 ")</f>
        <v xml:space="preserve">http://slimages.macys.com/is/image/MCY/18609264 </v>
      </c>
      <c r="N267" s="30"/>
    </row>
    <row r="268" spans="1:14" ht="60" x14ac:dyDescent="0.25">
      <c r="A268" s="19" t="s">
        <v>8389</v>
      </c>
      <c r="B268" s="17" t="s">
        <v>8388</v>
      </c>
      <c r="C268" s="20">
        <v>3</v>
      </c>
      <c r="D268" s="18">
        <v>51.75</v>
      </c>
      <c r="E268" s="20" t="s">
        <v>8387</v>
      </c>
      <c r="F268" s="17" t="s">
        <v>575</v>
      </c>
      <c r="G268" s="19" t="s">
        <v>271</v>
      </c>
      <c r="H268" s="18">
        <v>13.020000000000001</v>
      </c>
      <c r="I268" s="17" t="s">
        <v>358</v>
      </c>
      <c r="J268" s="17" t="s">
        <v>32</v>
      </c>
      <c r="K268" s="17"/>
      <c r="L268" s="17"/>
      <c r="M268" s="16" t="str">
        <f>HYPERLINK("http://slimages.macys.com/is/image/MCY/18994280 ")</f>
        <v xml:space="preserve">http://slimages.macys.com/is/image/MCY/18994280 </v>
      </c>
      <c r="N268" s="30"/>
    </row>
    <row r="269" spans="1:14" ht="60" x14ac:dyDescent="0.25">
      <c r="A269" s="19" t="s">
        <v>9497</v>
      </c>
      <c r="B269" s="17" t="s">
        <v>9496</v>
      </c>
      <c r="C269" s="20">
        <v>1</v>
      </c>
      <c r="D269" s="18">
        <v>51.75</v>
      </c>
      <c r="E269" s="20" t="s">
        <v>8387</v>
      </c>
      <c r="F269" s="17" t="s">
        <v>575</v>
      </c>
      <c r="G269" s="19" t="s">
        <v>351</v>
      </c>
      <c r="H269" s="18">
        <v>13.020000000000001</v>
      </c>
      <c r="I269" s="17" t="s">
        <v>358</v>
      </c>
      <c r="J269" s="17" t="s">
        <v>32</v>
      </c>
      <c r="K269" s="17"/>
      <c r="L269" s="17"/>
      <c r="M269" s="16" t="str">
        <f>HYPERLINK("http://slimages.macys.com/is/image/MCY/18994280 ")</f>
        <v xml:space="preserve">http://slimages.macys.com/is/image/MCY/18994280 </v>
      </c>
      <c r="N269" s="30"/>
    </row>
    <row r="270" spans="1:14" ht="60" x14ac:dyDescent="0.25">
      <c r="A270" s="19" t="s">
        <v>9495</v>
      </c>
      <c r="B270" s="17" t="s">
        <v>9494</v>
      </c>
      <c r="C270" s="20">
        <v>1</v>
      </c>
      <c r="D270" s="18">
        <v>59</v>
      </c>
      <c r="E270" s="20" t="s">
        <v>9493</v>
      </c>
      <c r="F270" s="17" t="s">
        <v>345</v>
      </c>
      <c r="G270" s="19" t="s">
        <v>62</v>
      </c>
      <c r="H270" s="18">
        <v>13.020000000000001</v>
      </c>
      <c r="I270" s="17" t="s">
        <v>49</v>
      </c>
      <c r="J270" s="17" t="s">
        <v>48</v>
      </c>
      <c r="K270" s="17"/>
      <c r="L270" s="17"/>
      <c r="M270" s="16" t="str">
        <f>HYPERLINK("http://slimages.macys.com/is/image/MCY/17559913 ")</f>
        <v xml:space="preserve">http://slimages.macys.com/is/image/MCY/17559913 </v>
      </c>
      <c r="N270" s="30"/>
    </row>
    <row r="271" spans="1:14" ht="60" x14ac:dyDescent="0.25">
      <c r="A271" s="19" t="s">
        <v>9492</v>
      </c>
      <c r="B271" s="17" t="s">
        <v>9491</v>
      </c>
      <c r="C271" s="20">
        <v>1</v>
      </c>
      <c r="D271" s="18">
        <v>59</v>
      </c>
      <c r="E271" s="20" t="s">
        <v>9490</v>
      </c>
      <c r="F271" s="17" t="s">
        <v>35</v>
      </c>
      <c r="G271" s="19" t="s">
        <v>50</v>
      </c>
      <c r="H271" s="18">
        <v>13.020000000000001</v>
      </c>
      <c r="I271" s="17" t="s">
        <v>49</v>
      </c>
      <c r="J271" s="17" t="s">
        <v>48</v>
      </c>
      <c r="K271" s="17"/>
      <c r="L271" s="17"/>
      <c r="M271" s="16" t="str">
        <f>HYPERLINK("http://slimages.macys.com/is/image/MCY/18510059 ")</f>
        <v xml:space="preserve">http://slimages.macys.com/is/image/MCY/18510059 </v>
      </c>
      <c r="N271" s="30"/>
    </row>
    <row r="272" spans="1:14" ht="60" x14ac:dyDescent="0.25">
      <c r="A272" s="19" t="s">
        <v>8382</v>
      </c>
      <c r="B272" s="17" t="s">
        <v>8381</v>
      </c>
      <c r="C272" s="20">
        <v>1</v>
      </c>
      <c r="D272" s="18">
        <v>99</v>
      </c>
      <c r="E272" s="20">
        <v>2331911</v>
      </c>
      <c r="F272" s="17" t="s">
        <v>23</v>
      </c>
      <c r="G272" s="19" t="s">
        <v>101</v>
      </c>
      <c r="H272" s="18">
        <v>13</v>
      </c>
      <c r="I272" s="17" t="s">
        <v>80</v>
      </c>
      <c r="J272" s="17" t="s">
        <v>293</v>
      </c>
      <c r="K272" s="17"/>
      <c r="L272" s="17"/>
      <c r="M272" s="16" t="str">
        <f>HYPERLINK("http://slimages.macys.com/is/image/MCY/19107730 ")</f>
        <v xml:space="preserve">http://slimages.macys.com/is/image/MCY/19107730 </v>
      </c>
      <c r="N272" s="30"/>
    </row>
    <row r="273" spans="1:14" ht="60" x14ac:dyDescent="0.25">
      <c r="A273" s="19" t="s">
        <v>9489</v>
      </c>
      <c r="B273" s="17" t="s">
        <v>9488</v>
      </c>
      <c r="C273" s="20">
        <v>1</v>
      </c>
      <c r="D273" s="18">
        <v>69.5</v>
      </c>
      <c r="E273" s="20">
        <v>30095152</v>
      </c>
      <c r="F273" s="17" t="s">
        <v>1022</v>
      </c>
      <c r="G273" s="19" t="s">
        <v>57</v>
      </c>
      <c r="H273" s="18">
        <v>12.973333333333333</v>
      </c>
      <c r="I273" s="17" t="s">
        <v>80</v>
      </c>
      <c r="J273" s="17" t="s">
        <v>513</v>
      </c>
      <c r="K273" s="17"/>
      <c r="L273" s="17"/>
      <c r="M273" s="16" t="str">
        <f>HYPERLINK("http://slimages.macys.com/is/image/MCY/18849512 ")</f>
        <v xml:space="preserve">http://slimages.macys.com/is/image/MCY/18849512 </v>
      </c>
      <c r="N273" s="30"/>
    </row>
    <row r="274" spans="1:14" ht="60" x14ac:dyDescent="0.25">
      <c r="A274" s="19" t="s">
        <v>9487</v>
      </c>
      <c r="B274" s="17" t="s">
        <v>9486</v>
      </c>
      <c r="C274" s="20">
        <v>1</v>
      </c>
      <c r="D274" s="18">
        <v>69</v>
      </c>
      <c r="E274" s="20" t="s">
        <v>8378</v>
      </c>
      <c r="F274" s="17" t="s">
        <v>23</v>
      </c>
      <c r="G274" s="19" t="s">
        <v>74</v>
      </c>
      <c r="H274" s="18">
        <v>12.9</v>
      </c>
      <c r="I274" s="17" t="s">
        <v>820</v>
      </c>
      <c r="J274" s="17" t="s">
        <v>67</v>
      </c>
      <c r="K274" s="17"/>
      <c r="L274" s="17"/>
      <c r="M274" s="16" t="str">
        <f>HYPERLINK("http://slimages.macys.com/is/image/MCY/19345209 ")</f>
        <v xml:space="preserve">http://slimages.macys.com/is/image/MCY/19345209 </v>
      </c>
      <c r="N274" s="30"/>
    </row>
    <row r="275" spans="1:14" ht="60" x14ac:dyDescent="0.25">
      <c r="A275" s="19" t="s">
        <v>9485</v>
      </c>
      <c r="B275" s="17" t="s">
        <v>9484</v>
      </c>
      <c r="C275" s="20">
        <v>2</v>
      </c>
      <c r="D275" s="18">
        <v>69.5</v>
      </c>
      <c r="E275" s="20" t="s">
        <v>8364</v>
      </c>
      <c r="F275" s="17" t="s">
        <v>58</v>
      </c>
      <c r="G275" s="19" t="s">
        <v>271</v>
      </c>
      <c r="H275" s="18">
        <v>12.74</v>
      </c>
      <c r="I275" s="17" t="s">
        <v>267</v>
      </c>
      <c r="J275" s="17" t="s">
        <v>32</v>
      </c>
      <c r="K275" s="17"/>
      <c r="L275" s="17"/>
      <c r="M275" s="16" t="str">
        <f>HYPERLINK("http://slimages.macys.com/is/image/MCY/19320062 ")</f>
        <v xml:space="preserve">http://slimages.macys.com/is/image/MCY/19320062 </v>
      </c>
      <c r="N275" s="30"/>
    </row>
    <row r="276" spans="1:14" ht="60" x14ac:dyDescent="0.25">
      <c r="A276" s="19" t="s">
        <v>9483</v>
      </c>
      <c r="B276" s="17" t="s">
        <v>9482</v>
      </c>
      <c r="C276" s="20">
        <v>1</v>
      </c>
      <c r="D276" s="18">
        <v>69</v>
      </c>
      <c r="E276" s="20" t="s">
        <v>3580</v>
      </c>
      <c r="F276" s="17" t="s">
        <v>23</v>
      </c>
      <c r="G276" s="19" t="s">
        <v>62</v>
      </c>
      <c r="H276" s="18">
        <v>12.74</v>
      </c>
      <c r="I276" s="17" t="s">
        <v>405</v>
      </c>
      <c r="J276" s="17" t="s">
        <v>404</v>
      </c>
      <c r="K276" s="17" t="s">
        <v>389</v>
      </c>
      <c r="L276" s="17" t="s">
        <v>1129</v>
      </c>
      <c r="M276" s="16" t="str">
        <f>HYPERLINK("http://slimages.macys.com/is/image/MCY/18457264 ")</f>
        <v xml:space="preserve">http://slimages.macys.com/is/image/MCY/18457264 </v>
      </c>
      <c r="N276" s="30"/>
    </row>
    <row r="277" spans="1:14" ht="60" x14ac:dyDescent="0.25">
      <c r="A277" s="19" t="s">
        <v>9481</v>
      </c>
      <c r="B277" s="17" t="s">
        <v>9480</v>
      </c>
      <c r="C277" s="20">
        <v>1</v>
      </c>
      <c r="D277" s="18">
        <v>69.5</v>
      </c>
      <c r="E277" s="20" t="s">
        <v>8369</v>
      </c>
      <c r="F277" s="17" t="s">
        <v>51</v>
      </c>
      <c r="G277" s="19" t="s">
        <v>271</v>
      </c>
      <c r="H277" s="18">
        <v>12.74</v>
      </c>
      <c r="I277" s="17" t="s">
        <v>267</v>
      </c>
      <c r="J277" s="17" t="s">
        <v>32</v>
      </c>
      <c r="K277" s="17"/>
      <c r="L277" s="17"/>
      <c r="M277" s="16" t="str">
        <f>HYPERLINK("http://slimages.macys.com/is/image/MCY/19267124 ")</f>
        <v xml:space="preserve">http://slimages.macys.com/is/image/MCY/19267124 </v>
      </c>
      <c r="N277" s="30"/>
    </row>
    <row r="278" spans="1:14" ht="60" x14ac:dyDescent="0.25">
      <c r="A278" s="19" t="s">
        <v>8368</v>
      </c>
      <c r="B278" s="17" t="s">
        <v>8367</v>
      </c>
      <c r="C278" s="20">
        <v>3</v>
      </c>
      <c r="D278" s="18">
        <v>69.5</v>
      </c>
      <c r="E278" s="20" t="s">
        <v>8364</v>
      </c>
      <c r="F278" s="17" t="s">
        <v>58</v>
      </c>
      <c r="G278" s="19" t="s">
        <v>351</v>
      </c>
      <c r="H278" s="18">
        <v>12.74</v>
      </c>
      <c r="I278" s="17" t="s">
        <v>267</v>
      </c>
      <c r="J278" s="17" t="s">
        <v>32</v>
      </c>
      <c r="K278" s="17"/>
      <c r="L278" s="17"/>
      <c r="M278" s="16" t="str">
        <f>HYPERLINK("http://slimages.macys.com/is/image/MCY/19320062 ")</f>
        <v xml:space="preserve">http://slimages.macys.com/is/image/MCY/19320062 </v>
      </c>
      <c r="N278" s="30"/>
    </row>
    <row r="279" spans="1:14" ht="60" x14ac:dyDescent="0.25">
      <c r="A279" s="19" t="s">
        <v>8366</v>
      </c>
      <c r="B279" s="17" t="s">
        <v>8365</v>
      </c>
      <c r="C279" s="20">
        <v>5</v>
      </c>
      <c r="D279" s="18">
        <v>69.5</v>
      </c>
      <c r="E279" s="20" t="s">
        <v>8364</v>
      </c>
      <c r="F279" s="17" t="s">
        <v>58</v>
      </c>
      <c r="G279" s="19" t="s">
        <v>139</v>
      </c>
      <c r="H279" s="18">
        <v>12.74</v>
      </c>
      <c r="I279" s="17" t="s">
        <v>267</v>
      </c>
      <c r="J279" s="17" t="s">
        <v>32</v>
      </c>
      <c r="K279" s="17"/>
      <c r="L279" s="17"/>
      <c r="M279" s="16" t="str">
        <f>HYPERLINK("http://slimages.macys.com/is/image/MCY/19320062 ")</f>
        <v xml:space="preserve">http://slimages.macys.com/is/image/MCY/19320062 </v>
      </c>
      <c r="N279" s="30"/>
    </row>
    <row r="280" spans="1:14" ht="60" x14ac:dyDescent="0.25">
      <c r="A280" s="19" t="s">
        <v>9479</v>
      </c>
      <c r="B280" s="17" t="s">
        <v>9478</v>
      </c>
      <c r="C280" s="20">
        <v>1</v>
      </c>
      <c r="D280" s="18">
        <v>69.5</v>
      </c>
      <c r="E280" s="20" t="s">
        <v>9477</v>
      </c>
      <c r="F280" s="17" t="s">
        <v>51</v>
      </c>
      <c r="G280" s="19" t="s">
        <v>351</v>
      </c>
      <c r="H280" s="18">
        <v>12.74</v>
      </c>
      <c r="I280" s="17" t="s">
        <v>267</v>
      </c>
      <c r="J280" s="17" t="s">
        <v>32</v>
      </c>
      <c r="K280" s="17"/>
      <c r="L280" s="17"/>
      <c r="M280" s="16" t="str">
        <f>HYPERLINK("http://slimages.macys.com/is/image/MCY/18629732 ")</f>
        <v xml:space="preserve">http://slimages.macys.com/is/image/MCY/18629732 </v>
      </c>
      <c r="N280" s="30"/>
    </row>
    <row r="281" spans="1:14" ht="60" x14ac:dyDescent="0.25">
      <c r="A281" s="19" t="s">
        <v>9476</v>
      </c>
      <c r="B281" s="17" t="s">
        <v>9475</v>
      </c>
      <c r="C281" s="20">
        <v>1</v>
      </c>
      <c r="D281" s="18">
        <v>69.5</v>
      </c>
      <c r="E281" s="20" t="s">
        <v>8369</v>
      </c>
      <c r="F281" s="17" t="s">
        <v>51</v>
      </c>
      <c r="G281" s="19" t="s">
        <v>351</v>
      </c>
      <c r="H281" s="18">
        <v>12.74</v>
      </c>
      <c r="I281" s="17" t="s">
        <v>267</v>
      </c>
      <c r="J281" s="17" t="s">
        <v>32</v>
      </c>
      <c r="K281" s="17"/>
      <c r="L281" s="17"/>
      <c r="M281" s="16" t="str">
        <f>HYPERLINK("http://slimages.macys.com/is/image/MCY/19267124 ")</f>
        <v xml:space="preserve">http://slimages.macys.com/is/image/MCY/19267124 </v>
      </c>
      <c r="N281" s="30"/>
    </row>
    <row r="282" spans="1:14" ht="60" x14ac:dyDescent="0.25">
      <c r="A282" s="19" t="s">
        <v>9474</v>
      </c>
      <c r="B282" s="17" t="s">
        <v>9473</v>
      </c>
      <c r="C282" s="20">
        <v>1</v>
      </c>
      <c r="D282" s="18">
        <v>89</v>
      </c>
      <c r="E282" s="20">
        <v>2331905</v>
      </c>
      <c r="F282" s="17" t="s">
        <v>2575</v>
      </c>
      <c r="G282" s="19" t="s">
        <v>857</v>
      </c>
      <c r="H282" s="18">
        <v>12.666666666666666</v>
      </c>
      <c r="I282" s="17" t="s">
        <v>80</v>
      </c>
      <c r="J282" s="17" t="s">
        <v>293</v>
      </c>
      <c r="K282" s="17"/>
      <c r="L282" s="17"/>
      <c r="M282" s="16" t="str">
        <f>HYPERLINK("http://slimages.macys.com/is/image/MCY/19107566 ")</f>
        <v xml:space="preserve">http://slimages.macys.com/is/image/MCY/19107566 </v>
      </c>
      <c r="N282" s="30"/>
    </row>
    <row r="283" spans="1:14" ht="60" x14ac:dyDescent="0.25">
      <c r="A283" s="19" t="s">
        <v>9472</v>
      </c>
      <c r="B283" s="17" t="s">
        <v>9471</v>
      </c>
      <c r="C283" s="20">
        <v>1</v>
      </c>
      <c r="D283" s="18">
        <v>49</v>
      </c>
      <c r="E283" s="20" t="s">
        <v>9470</v>
      </c>
      <c r="F283" s="17" t="s">
        <v>508</v>
      </c>
      <c r="G283" s="19" t="s">
        <v>69</v>
      </c>
      <c r="H283" s="18">
        <v>12.666666666666666</v>
      </c>
      <c r="I283" s="17" t="s">
        <v>144</v>
      </c>
      <c r="J283" s="17" t="s">
        <v>496</v>
      </c>
      <c r="K283" s="17" t="s">
        <v>389</v>
      </c>
      <c r="L283" s="17" t="s">
        <v>388</v>
      </c>
      <c r="M283" s="16" t="str">
        <f>HYPERLINK("http://slimages.macys.com/is/image/MCY/3202292 ")</f>
        <v xml:space="preserve">http://slimages.macys.com/is/image/MCY/3202292 </v>
      </c>
      <c r="N283" s="30"/>
    </row>
    <row r="284" spans="1:14" ht="60" x14ac:dyDescent="0.25">
      <c r="A284" s="19" t="s">
        <v>9469</v>
      </c>
      <c r="B284" s="17" t="s">
        <v>9468</v>
      </c>
      <c r="C284" s="20">
        <v>1</v>
      </c>
      <c r="D284" s="18">
        <v>89</v>
      </c>
      <c r="E284" s="20">
        <v>2331905</v>
      </c>
      <c r="F284" s="17" t="s">
        <v>2575</v>
      </c>
      <c r="G284" s="19" t="s">
        <v>96</v>
      </c>
      <c r="H284" s="18">
        <v>12.666666666666666</v>
      </c>
      <c r="I284" s="17" t="s">
        <v>80</v>
      </c>
      <c r="J284" s="17" t="s">
        <v>293</v>
      </c>
      <c r="K284" s="17"/>
      <c r="L284" s="17"/>
      <c r="M284" s="16" t="str">
        <f>HYPERLINK("http://slimages.macys.com/is/image/MCY/19107566 ")</f>
        <v xml:space="preserve">http://slimages.macys.com/is/image/MCY/19107566 </v>
      </c>
      <c r="N284" s="30"/>
    </row>
    <row r="285" spans="1:14" ht="60" x14ac:dyDescent="0.25">
      <c r="A285" s="19" t="s">
        <v>9467</v>
      </c>
      <c r="B285" s="17" t="s">
        <v>9466</v>
      </c>
      <c r="C285" s="20">
        <v>1</v>
      </c>
      <c r="D285" s="18">
        <v>48.3</v>
      </c>
      <c r="E285" s="20" t="s">
        <v>5734</v>
      </c>
      <c r="F285" s="17" t="s">
        <v>28</v>
      </c>
      <c r="G285" s="19" t="s">
        <v>62</v>
      </c>
      <c r="H285" s="18">
        <v>12.6</v>
      </c>
      <c r="I285" s="17" t="s">
        <v>42</v>
      </c>
      <c r="J285" s="17" t="s">
        <v>41</v>
      </c>
      <c r="K285" s="17"/>
      <c r="L285" s="17"/>
      <c r="M285" s="16" t="str">
        <f>HYPERLINK("http://slimages.macys.com/is/image/MCY/18504786 ")</f>
        <v xml:space="preserve">http://slimages.macys.com/is/image/MCY/18504786 </v>
      </c>
      <c r="N285" s="30"/>
    </row>
    <row r="286" spans="1:14" ht="60" x14ac:dyDescent="0.25">
      <c r="A286" s="19" t="s">
        <v>5052</v>
      </c>
      <c r="B286" s="17" t="s">
        <v>5051</v>
      </c>
      <c r="C286" s="20">
        <v>1</v>
      </c>
      <c r="D286" s="18">
        <v>48.3</v>
      </c>
      <c r="E286" s="20" t="s">
        <v>1895</v>
      </c>
      <c r="F286" s="17" t="s">
        <v>51</v>
      </c>
      <c r="G286" s="19" t="s">
        <v>74</v>
      </c>
      <c r="H286" s="18">
        <v>12.6</v>
      </c>
      <c r="I286" s="17" t="s">
        <v>42</v>
      </c>
      <c r="J286" s="17" t="s">
        <v>41</v>
      </c>
      <c r="K286" s="17"/>
      <c r="L286" s="17"/>
      <c r="M286" s="16" t="str">
        <f>HYPERLINK("http://slimages.macys.com/is/image/MCY/19187460 ")</f>
        <v xml:space="preserve">http://slimages.macys.com/is/image/MCY/19187460 </v>
      </c>
      <c r="N286" s="30"/>
    </row>
    <row r="287" spans="1:14" ht="60" x14ac:dyDescent="0.25">
      <c r="A287" s="19" t="s">
        <v>4391</v>
      </c>
      <c r="B287" s="17" t="s">
        <v>4390</v>
      </c>
      <c r="C287" s="20">
        <v>2</v>
      </c>
      <c r="D287" s="18">
        <v>48.3</v>
      </c>
      <c r="E287" s="20" t="s">
        <v>1895</v>
      </c>
      <c r="F287" s="17" t="s">
        <v>51</v>
      </c>
      <c r="G287" s="19" t="s">
        <v>197</v>
      </c>
      <c r="H287" s="18">
        <v>12.6</v>
      </c>
      <c r="I287" s="17" t="s">
        <v>42</v>
      </c>
      <c r="J287" s="17" t="s">
        <v>41</v>
      </c>
      <c r="K287" s="17"/>
      <c r="L287" s="17"/>
      <c r="M287" s="16" t="str">
        <f>HYPERLINK("http://slimages.macys.com/is/image/MCY/19187460 ")</f>
        <v xml:space="preserve">http://slimages.macys.com/is/image/MCY/19187460 </v>
      </c>
      <c r="N287" s="30"/>
    </row>
    <row r="288" spans="1:14" ht="60" x14ac:dyDescent="0.25">
      <c r="A288" s="19" t="s">
        <v>9465</v>
      </c>
      <c r="B288" s="17" t="s">
        <v>9464</v>
      </c>
      <c r="C288" s="20">
        <v>1</v>
      </c>
      <c r="D288" s="18">
        <v>39.99</v>
      </c>
      <c r="E288" s="20" t="s">
        <v>9463</v>
      </c>
      <c r="F288" s="17" t="s">
        <v>58</v>
      </c>
      <c r="G288" s="19"/>
      <c r="H288" s="18">
        <v>12.6</v>
      </c>
      <c r="I288" s="17" t="s">
        <v>42</v>
      </c>
      <c r="J288" s="17" t="s">
        <v>41</v>
      </c>
      <c r="K288" s="17"/>
      <c r="L288" s="17"/>
      <c r="M288" s="16" t="str">
        <f>HYPERLINK("http://slimages.macys.com/is/image/MCY/16540173 ")</f>
        <v xml:space="preserve">http://slimages.macys.com/is/image/MCY/16540173 </v>
      </c>
      <c r="N288" s="30"/>
    </row>
    <row r="289" spans="1:14" ht="60" x14ac:dyDescent="0.25">
      <c r="A289" s="19" t="s">
        <v>7350</v>
      </c>
      <c r="B289" s="17" t="s">
        <v>7349</v>
      </c>
      <c r="C289" s="20">
        <v>2</v>
      </c>
      <c r="D289" s="18">
        <v>48.3</v>
      </c>
      <c r="E289" s="20" t="s">
        <v>1895</v>
      </c>
      <c r="F289" s="17" t="s">
        <v>28</v>
      </c>
      <c r="G289" s="19" t="s">
        <v>197</v>
      </c>
      <c r="H289" s="18">
        <v>12.6</v>
      </c>
      <c r="I289" s="17" t="s">
        <v>42</v>
      </c>
      <c r="J289" s="17" t="s">
        <v>41</v>
      </c>
      <c r="K289" s="17"/>
      <c r="L289" s="17"/>
      <c r="M289" s="16" t="str">
        <f>HYPERLINK("http://slimages.macys.com/is/image/MCY/18545224 ")</f>
        <v xml:space="preserve">http://slimages.macys.com/is/image/MCY/18545224 </v>
      </c>
      <c r="N289" s="30"/>
    </row>
    <row r="290" spans="1:14" ht="60" x14ac:dyDescent="0.25">
      <c r="A290" s="19" t="s">
        <v>9462</v>
      </c>
      <c r="B290" s="17" t="s">
        <v>9461</v>
      </c>
      <c r="C290" s="20">
        <v>1</v>
      </c>
      <c r="D290" s="18">
        <v>59</v>
      </c>
      <c r="E290" s="20" t="s">
        <v>9460</v>
      </c>
      <c r="F290" s="17" t="s">
        <v>51</v>
      </c>
      <c r="G290" s="19" t="s">
        <v>62</v>
      </c>
      <c r="H290" s="18">
        <v>12.593333333333334</v>
      </c>
      <c r="I290" s="17" t="s">
        <v>49</v>
      </c>
      <c r="J290" s="17" t="s">
        <v>48</v>
      </c>
      <c r="K290" s="17"/>
      <c r="L290" s="17"/>
      <c r="M290" s="16" t="str">
        <f>HYPERLINK("http://slimages.macys.com/is/image/MCY/18576603 ")</f>
        <v xml:space="preserve">http://slimages.macys.com/is/image/MCY/18576603 </v>
      </c>
      <c r="N290" s="30"/>
    </row>
    <row r="291" spans="1:14" ht="60" x14ac:dyDescent="0.25">
      <c r="A291" s="19" t="s">
        <v>9459</v>
      </c>
      <c r="B291" s="17" t="s">
        <v>9458</v>
      </c>
      <c r="C291" s="20">
        <v>1</v>
      </c>
      <c r="D291" s="18">
        <v>44.25</v>
      </c>
      <c r="E291" s="20">
        <v>10770229</v>
      </c>
      <c r="F291" s="17" t="s">
        <v>578</v>
      </c>
      <c r="G291" s="19"/>
      <c r="H291" s="18">
        <v>12.393333333333334</v>
      </c>
      <c r="I291" s="17" t="s">
        <v>33</v>
      </c>
      <c r="J291" s="17" t="s">
        <v>143</v>
      </c>
      <c r="K291" s="17"/>
      <c r="L291" s="17"/>
      <c r="M291" s="16" t="str">
        <f>HYPERLINK("http://slimages.macys.com/is/image/MCY/18601528 ")</f>
        <v xml:space="preserve">http://slimages.macys.com/is/image/MCY/18601528 </v>
      </c>
      <c r="N291" s="30"/>
    </row>
    <row r="292" spans="1:14" ht="72" x14ac:dyDescent="0.25">
      <c r="A292" s="19" t="s">
        <v>9457</v>
      </c>
      <c r="B292" s="17" t="s">
        <v>9456</v>
      </c>
      <c r="C292" s="20">
        <v>1</v>
      </c>
      <c r="D292" s="18">
        <v>74</v>
      </c>
      <c r="E292" s="20">
        <v>7020031</v>
      </c>
      <c r="F292" s="17" t="s">
        <v>1526</v>
      </c>
      <c r="G292" s="19" t="s">
        <v>22</v>
      </c>
      <c r="H292" s="18">
        <v>12.333333333333334</v>
      </c>
      <c r="I292" s="17" t="s">
        <v>111</v>
      </c>
      <c r="J292" s="17" t="s">
        <v>110</v>
      </c>
      <c r="K292" s="17" t="s">
        <v>637</v>
      </c>
      <c r="L292" s="17" t="s">
        <v>4469</v>
      </c>
      <c r="M292" s="16" t="str">
        <f>HYPERLINK("http://images.bloomingdales.com/is/image/BLM/11543324 ")</f>
        <v xml:space="preserve">http://images.bloomingdales.com/is/image/BLM/11543324 </v>
      </c>
      <c r="N292" s="30"/>
    </row>
    <row r="293" spans="1:14" ht="60" x14ac:dyDescent="0.25">
      <c r="A293" s="19" t="s">
        <v>9455</v>
      </c>
      <c r="B293" s="17" t="s">
        <v>9454</v>
      </c>
      <c r="C293" s="20">
        <v>1</v>
      </c>
      <c r="D293" s="18">
        <v>89</v>
      </c>
      <c r="E293" s="20" t="s">
        <v>9453</v>
      </c>
      <c r="F293" s="17" t="s">
        <v>51</v>
      </c>
      <c r="G293" s="19" t="s">
        <v>27</v>
      </c>
      <c r="H293" s="18">
        <v>12.333333333333334</v>
      </c>
      <c r="I293" s="17" t="s">
        <v>550</v>
      </c>
      <c r="J293" s="17" t="s">
        <v>549</v>
      </c>
      <c r="K293" s="17"/>
      <c r="L293" s="17"/>
      <c r="M293" s="16" t="str">
        <f>HYPERLINK("http://slimages.macys.com/is/image/MCY/16136905 ")</f>
        <v xml:space="preserve">http://slimages.macys.com/is/image/MCY/16136905 </v>
      </c>
      <c r="N293" s="30"/>
    </row>
    <row r="294" spans="1:14" ht="60" x14ac:dyDescent="0.25">
      <c r="A294" s="19" t="s">
        <v>9452</v>
      </c>
      <c r="B294" s="17" t="s">
        <v>9451</v>
      </c>
      <c r="C294" s="20">
        <v>1</v>
      </c>
      <c r="D294" s="18">
        <v>59</v>
      </c>
      <c r="E294" s="20">
        <v>10804516</v>
      </c>
      <c r="F294" s="17" t="s">
        <v>359</v>
      </c>
      <c r="G294" s="19" t="s">
        <v>197</v>
      </c>
      <c r="H294" s="18">
        <v>12.193333333333333</v>
      </c>
      <c r="I294" s="17" t="s">
        <v>144</v>
      </c>
      <c r="J294" s="17" t="s">
        <v>143</v>
      </c>
      <c r="K294" s="17"/>
      <c r="L294" s="17"/>
      <c r="M294" s="16" t="str">
        <f>HYPERLINK("http://slimages.macys.com/is/image/MCY/19286545 ")</f>
        <v xml:space="preserve">http://slimages.macys.com/is/image/MCY/19286545 </v>
      </c>
      <c r="N294" s="30"/>
    </row>
    <row r="295" spans="1:14" ht="60" x14ac:dyDescent="0.25">
      <c r="A295" s="19" t="s">
        <v>9450</v>
      </c>
      <c r="B295" s="17" t="s">
        <v>9449</v>
      </c>
      <c r="C295" s="20">
        <v>1</v>
      </c>
      <c r="D295" s="18">
        <v>59</v>
      </c>
      <c r="E295" s="20" t="s">
        <v>9448</v>
      </c>
      <c r="F295" s="17" t="s">
        <v>23</v>
      </c>
      <c r="G295" s="19" t="s">
        <v>74</v>
      </c>
      <c r="H295" s="18">
        <v>12.193333333333333</v>
      </c>
      <c r="I295" s="17" t="s">
        <v>144</v>
      </c>
      <c r="J295" s="17" t="s">
        <v>2043</v>
      </c>
      <c r="K295" s="17" t="s">
        <v>389</v>
      </c>
      <c r="L295" s="17" t="s">
        <v>1359</v>
      </c>
      <c r="M295" s="16" t="str">
        <f>HYPERLINK("http://slimages.macys.com/is/image/MCY/16346039 ")</f>
        <v xml:space="preserve">http://slimages.macys.com/is/image/MCY/16346039 </v>
      </c>
      <c r="N295" s="30"/>
    </row>
    <row r="296" spans="1:14" ht="60" x14ac:dyDescent="0.25">
      <c r="A296" s="19" t="s">
        <v>9447</v>
      </c>
      <c r="B296" s="17" t="s">
        <v>9446</v>
      </c>
      <c r="C296" s="20">
        <v>1</v>
      </c>
      <c r="D296" s="18">
        <v>64.5</v>
      </c>
      <c r="E296" s="20" t="s">
        <v>9445</v>
      </c>
      <c r="F296" s="17" t="s">
        <v>85</v>
      </c>
      <c r="G296" s="19" t="s">
        <v>351</v>
      </c>
      <c r="H296" s="18">
        <v>12.146666666666668</v>
      </c>
      <c r="I296" s="17" t="s">
        <v>1891</v>
      </c>
      <c r="J296" s="17" t="s">
        <v>67</v>
      </c>
      <c r="K296" s="17"/>
      <c r="L296" s="17"/>
      <c r="M296" s="16" t="str">
        <f>HYPERLINK("http://slimages.macys.com/is/image/MCY/18344686 ")</f>
        <v xml:space="preserve">http://slimages.macys.com/is/image/MCY/18344686 </v>
      </c>
      <c r="N296" s="30"/>
    </row>
    <row r="297" spans="1:14" ht="60" x14ac:dyDescent="0.25">
      <c r="A297" s="19" t="s">
        <v>2702</v>
      </c>
      <c r="B297" s="17" t="s">
        <v>2701</v>
      </c>
      <c r="C297" s="20">
        <v>1</v>
      </c>
      <c r="D297" s="18">
        <v>64.5</v>
      </c>
      <c r="E297" s="20" t="s">
        <v>2700</v>
      </c>
      <c r="F297" s="17" t="s">
        <v>35</v>
      </c>
      <c r="G297" s="19" t="s">
        <v>351</v>
      </c>
      <c r="H297" s="18">
        <v>12.146666666666668</v>
      </c>
      <c r="I297" s="17" t="s">
        <v>1891</v>
      </c>
      <c r="J297" s="17" t="s">
        <v>67</v>
      </c>
      <c r="K297" s="17"/>
      <c r="L297" s="17"/>
      <c r="M297" s="16" t="str">
        <f>HYPERLINK("http://slimages.macys.com/is/image/MCY/18589901 ")</f>
        <v xml:space="preserve">http://slimages.macys.com/is/image/MCY/18589901 </v>
      </c>
      <c r="N297" s="30"/>
    </row>
    <row r="298" spans="1:14" ht="60" x14ac:dyDescent="0.25">
      <c r="A298" s="19" t="s">
        <v>1114</v>
      </c>
      <c r="B298" s="17" t="s">
        <v>1113</v>
      </c>
      <c r="C298" s="20">
        <v>2</v>
      </c>
      <c r="D298" s="18">
        <v>50</v>
      </c>
      <c r="E298" s="20" t="s">
        <v>1110</v>
      </c>
      <c r="F298" s="17" t="s">
        <v>51</v>
      </c>
      <c r="G298" s="19" t="s">
        <v>62</v>
      </c>
      <c r="H298" s="18">
        <v>12.093333333333334</v>
      </c>
      <c r="I298" s="17" t="s">
        <v>16</v>
      </c>
      <c r="J298" s="17" t="s">
        <v>15</v>
      </c>
      <c r="K298" s="17"/>
      <c r="L298" s="17"/>
      <c r="M298" s="16" t="str">
        <f>HYPERLINK("http://slimages.macys.com/is/image/MCY/18951803 ")</f>
        <v xml:space="preserve">http://slimages.macys.com/is/image/MCY/18951803 </v>
      </c>
      <c r="N298" s="30"/>
    </row>
    <row r="299" spans="1:14" ht="60" x14ac:dyDescent="0.25">
      <c r="A299" s="19" t="s">
        <v>1116</v>
      </c>
      <c r="B299" s="17" t="s">
        <v>1115</v>
      </c>
      <c r="C299" s="20">
        <v>2</v>
      </c>
      <c r="D299" s="18">
        <v>50</v>
      </c>
      <c r="E299" s="20" t="s">
        <v>1110</v>
      </c>
      <c r="F299" s="17" t="s">
        <v>51</v>
      </c>
      <c r="G299" s="19" t="s">
        <v>17</v>
      </c>
      <c r="H299" s="18">
        <v>12.093333333333334</v>
      </c>
      <c r="I299" s="17" t="s">
        <v>16</v>
      </c>
      <c r="J299" s="17" t="s">
        <v>15</v>
      </c>
      <c r="K299" s="17"/>
      <c r="L299" s="17"/>
      <c r="M299" s="16" t="str">
        <f>HYPERLINK("http://slimages.macys.com/is/image/MCY/18951803 ")</f>
        <v xml:space="preserve">http://slimages.macys.com/is/image/MCY/18951803 </v>
      </c>
      <c r="N299" s="30"/>
    </row>
    <row r="300" spans="1:14" ht="60" x14ac:dyDescent="0.25">
      <c r="A300" s="19" t="s">
        <v>1112</v>
      </c>
      <c r="B300" s="17" t="s">
        <v>1111</v>
      </c>
      <c r="C300" s="20">
        <v>2</v>
      </c>
      <c r="D300" s="18">
        <v>50</v>
      </c>
      <c r="E300" s="20" t="s">
        <v>1110</v>
      </c>
      <c r="F300" s="17" t="s">
        <v>51</v>
      </c>
      <c r="G300" s="19" t="s">
        <v>22</v>
      </c>
      <c r="H300" s="18">
        <v>12.093333333333334</v>
      </c>
      <c r="I300" s="17" t="s">
        <v>16</v>
      </c>
      <c r="J300" s="17" t="s">
        <v>15</v>
      </c>
      <c r="K300" s="17"/>
      <c r="L300" s="17"/>
      <c r="M300" s="16" t="str">
        <f>HYPERLINK("http://slimages.macys.com/is/image/MCY/18951803 ")</f>
        <v xml:space="preserve">http://slimages.macys.com/is/image/MCY/18951803 </v>
      </c>
      <c r="N300" s="30"/>
    </row>
    <row r="301" spans="1:14" ht="60" x14ac:dyDescent="0.25">
      <c r="A301" s="19" t="s">
        <v>9444</v>
      </c>
      <c r="B301" s="17" t="s">
        <v>9443</v>
      </c>
      <c r="C301" s="20">
        <v>2</v>
      </c>
      <c r="D301" s="18">
        <v>74</v>
      </c>
      <c r="E301" s="20" t="s">
        <v>9440</v>
      </c>
      <c r="F301" s="17" t="s">
        <v>345</v>
      </c>
      <c r="G301" s="19" t="s">
        <v>62</v>
      </c>
      <c r="H301" s="18">
        <v>12</v>
      </c>
      <c r="I301" s="17" t="s">
        <v>148</v>
      </c>
      <c r="J301" s="17" t="s">
        <v>409</v>
      </c>
      <c r="K301" s="17"/>
      <c r="L301" s="17"/>
      <c r="M301" s="16" t="str">
        <f>HYPERLINK("http://slimages.macys.com/is/image/MCY/19377009 ")</f>
        <v xml:space="preserve">http://slimages.macys.com/is/image/MCY/19377009 </v>
      </c>
      <c r="N301" s="30"/>
    </row>
    <row r="302" spans="1:14" ht="60" x14ac:dyDescent="0.25">
      <c r="A302" s="19" t="s">
        <v>9442</v>
      </c>
      <c r="B302" s="17" t="s">
        <v>9441</v>
      </c>
      <c r="C302" s="20">
        <v>2</v>
      </c>
      <c r="D302" s="18">
        <v>74</v>
      </c>
      <c r="E302" s="20" t="s">
        <v>9440</v>
      </c>
      <c r="F302" s="17" t="s">
        <v>345</v>
      </c>
      <c r="G302" s="19" t="s">
        <v>197</v>
      </c>
      <c r="H302" s="18">
        <v>12</v>
      </c>
      <c r="I302" s="17" t="s">
        <v>148</v>
      </c>
      <c r="J302" s="17" t="s">
        <v>409</v>
      </c>
      <c r="K302" s="17"/>
      <c r="L302" s="17"/>
      <c r="M302" s="16" t="str">
        <f>HYPERLINK("http://slimages.macys.com/is/image/MCY/19377009 ")</f>
        <v xml:space="preserve">http://slimages.macys.com/is/image/MCY/19377009 </v>
      </c>
      <c r="N302" s="30"/>
    </row>
    <row r="303" spans="1:14" ht="60" x14ac:dyDescent="0.25">
      <c r="A303" s="19" t="s">
        <v>5028</v>
      </c>
      <c r="B303" s="17" t="s">
        <v>5027</v>
      </c>
      <c r="C303" s="20">
        <v>2</v>
      </c>
      <c r="D303" s="18">
        <v>69</v>
      </c>
      <c r="E303" s="20">
        <v>2321805</v>
      </c>
      <c r="F303" s="17" t="s">
        <v>70</v>
      </c>
      <c r="G303" s="19" t="s">
        <v>50</v>
      </c>
      <c r="H303" s="18">
        <v>12</v>
      </c>
      <c r="I303" s="17" t="s">
        <v>80</v>
      </c>
      <c r="J303" s="17" t="s">
        <v>293</v>
      </c>
      <c r="K303" s="17"/>
      <c r="L303" s="17"/>
      <c r="M303" s="16" t="str">
        <f>HYPERLINK("http://slimages.macys.com/is/image/MCY/18749723 ")</f>
        <v xml:space="preserve">http://slimages.macys.com/is/image/MCY/18749723 </v>
      </c>
      <c r="N303" s="30"/>
    </row>
    <row r="304" spans="1:14" ht="60" x14ac:dyDescent="0.25">
      <c r="A304" s="19" t="s">
        <v>5033</v>
      </c>
      <c r="B304" s="17" t="s">
        <v>5032</v>
      </c>
      <c r="C304" s="20">
        <v>1</v>
      </c>
      <c r="D304" s="18">
        <v>69</v>
      </c>
      <c r="E304" s="20">
        <v>2321805</v>
      </c>
      <c r="F304" s="17" t="s">
        <v>70</v>
      </c>
      <c r="G304" s="19" t="s">
        <v>101</v>
      </c>
      <c r="H304" s="18">
        <v>12</v>
      </c>
      <c r="I304" s="17" t="s">
        <v>80</v>
      </c>
      <c r="J304" s="17" t="s">
        <v>293</v>
      </c>
      <c r="K304" s="17"/>
      <c r="L304" s="17"/>
      <c r="M304" s="16" t="str">
        <f>HYPERLINK("http://slimages.macys.com/is/image/MCY/18749723 ")</f>
        <v xml:space="preserve">http://slimages.macys.com/is/image/MCY/18749723 </v>
      </c>
      <c r="N304" s="30"/>
    </row>
    <row r="305" spans="1:14" ht="60" x14ac:dyDescent="0.25">
      <c r="A305" s="19" t="s">
        <v>5721</v>
      </c>
      <c r="B305" s="17" t="s">
        <v>5720</v>
      </c>
      <c r="C305" s="20">
        <v>1</v>
      </c>
      <c r="D305" s="18">
        <v>69</v>
      </c>
      <c r="E305" s="20">
        <v>2321805</v>
      </c>
      <c r="F305" s="17" t="s">
        <v>70</v>
      </c>
      <c r="G305" s="19" t="s">
        <v>22</v>
      </c>
      <c r="H305" s="18">
        <v>12</v>
      </c>
      <c r="I305" s="17" t="s">
        <v>80</v>
      </c>
      <c r="J305" s="17" t="s">
        <v>293</v>
      </c>
      <c r="K305" s="17"/>
      <c r="L305" s="17"/>
      <c r="M305" s="16" t="str">
        <f>HYPERLINK("http://slimages.macys.com/is/image/MCY/18749723 ")</f>
        <v xml:space="preserve">http://slimages.macys.com/is/image/MCY/18749723 </v>
      </c>
      <c r="N305" s="30"/>
    </row>
    <row r="306" spans="1:14" ht="60" x14ac:dyDescent="0.25">
      <c r="A306" s="19" t="s">
        <v>9439</v>
      </c>
      <c r="B306" s="17" t="s">
        <v>9438</v>
      </c>
      <c r="C306" s="20">
        <v>1</v>
      </c>
      <c r="D306" s="18">
        <v>59.5</v>
      </c>
      <c r="E306" s="20" t="s">
        <v>9435</v>
      </c>
      <c r="F306" s="17" t="s">
        <v>3876</v>
      </c>
      <c r="G306" s="19" t="s">
        <v>197</v>
      </c>
      <c r="H306" s="18">
        <v>11.986666666666668</v>
      </c>
      <c r="I306" s="17" t="s">
        <v>106</v>
      </c>
      <c r="J306" s="17" t="s">
        <v>105</v>
      </c>
      <c r="K306" s="17"/>
      <c r="L306" s="17"/>
      <c r="M306" s="16" t="str">
        <f>HYPERLINK("http://slimages.macys.com/is/image/MCY/19195116 ")</f>
        <v xml:space="preserve">http://slimages.macys.com/is/image/MCY/19195116 </v>
      </c>
      <c r="N306" s="30"/>
    </row>
    <row r="307" spans="1:14" ht="60" x14ac:dyDescent="0.25">
      <c r="A307" s="19" t="s">
        <v>9437</v>
      </c>
      <c r="B307" s="17" t="s">
        <v>9436</v>
      </c>
      <c r="C307" s="20">
        <v>1</v>
      </c>
      <c r="D307" s="18">
        <v>59.5</v>
      </c>
      <c r="E307" s="20" t="s">
        <v>9435</v>
      </c>
      <c r="F307" s="17" t="s">
        <v>3876</v>
      </c>
      <c r="G307" s="19" t="s">
        <v>74</v>
      </c>
      <c r="H307" s="18">
        <v>11.986666666666668</v>
      </c>
      <c r="I307" s="17" t="s">
        <v>106</v>
      </c>
      <c r="J307" s="17" t="s">
        <v>105</v>
      </c>
      <c r="K307" s="17"/>
      <c r="L307" s="17"/>
      <c r="M307" s="16" t="str">
        <f>HYPERLINK("http://slimages.macys.com/is/image/MCY/19195116 ")</f>
        <v xml:space="preserve">http://slimages.macys.com/is/image/MCY/19195116 </v>
      </c>
      <c r="N307" s="30"/>
    </row>
    <row r="308" spans="1:14" ht="60" x14ac:dyDescent="0.25">
      <c r="A308" s="19" t="s">
        <v>9434</v>
      </c>
      <c r="B308" s="17" t="s">
        <v>9433</v>
      </c>
      <c r="C308" s="20">
        <v>1</v>
      </c>
      <c r="D308" s="18">
        <v>59.5</v>
      </c>
      <c r="E308" s="20" t="s">
        <v>9432</v>
      </c>
      <c r="F308" s="17" t="s">
        <v>23</v>
      </c>
      <c r="G308" s="19" t="s">
        <v>69</v>
      </c>
      <c r="H308" s="18">
        <v>11.986666666666668</v>
      </c>
      <c r="I308" s="17" t="s">
        <v>106</v>
      </c>
      <c r="J308" s="17" t="s">
        <v>105</v>
      </c>
      <c r="K308" s="17"/>
      <c r="L308" s="17"/>
      <c r="M308" s="16" t="str">
        <f>HYPERLINK("http://slimages.macys.com/is/image/MCY/18612369 ")</f>
        <v xml:space="preserve">http://slimages.macys.com/is/image/MCY/18612369 </v>
      </c>
      <c r="N308" s="30"/>
    </row>
    <row r="309" spans="1:14" ht="60" x14ac:dyDescent="0.25">
      <c r="A309" s="19" t="s">
        <v>7323</v>
      </c>
      <c r="B309" s="17" t="s">
        <v>7322</v>
      </c>
      <c r="C309" s="20">
        <v>1</v>
      </c>
      <c r="D309" s="18">
        <v>59</v>
      </c>
      <c r="E309" s="20">
        <v>10799158</v>
      </c>
      <c r="F309" s="17" t="s">
        <v>140</v>
      </c>
      <c r="G309" s="19" t="s">
        <v>351</v>
      </c>
      <c r="H309" s="18">
        <v>11.8</v>
      </c>
      <c r="I309" s="17" t="s">
        <v>358</v>
      </c>
      <c r="J309" s="17" t="s">
        <v>554</v>
      </c>
      <c r="K309" s="17"/>
      <c r="L309" s="17"/>
      <c r="M309" s="16" t="str">
        <f>HYPERLINK("http://slimages.macys.com/is/image/MCY/18520659 ")</f>
        <v xml:space="preserve">http://slimages.macys.com/is/image/MCY/18520659 </v>
      </c>
      <c r="N309" s="30"/>
    </row>
    <row r="310" spans="1:14" ht="60" x14ac:dyDescent="0.25">
      <c r="A310" s="19" t="s">
        <v>9431</v>
      </c>
      <c r="B310" s="17" t="s">
        <v>9430</v>
      </c>
      <c r="C310" s="20">
        <v>1</v>
      </c>
      <c r="D310" s="18">
        <v>59</v>
      </c>
      <c r="E310" s="20">
        <v>10799158</v>
      </c>
      <c r="F310" s="17" t="s">
        <v>140</v>
      </c>
      <c r="G310" s="19" t="s">
        <v>139</v>
      </c>
      <c r="H310" s="18">
        <v>11.8</v>
      </c>
      <c r="I310" s="17" t="s">
        <v>358</v>
      </c>
      <c r="J310" s="17" t="s">
        <v>554</v>
      </c>
      <c r="K310" s="17"/>
      <c r="L310" s="17"/>
      <c r="M310" s="16" t="str">
        <f>HYPERLINK("http://slimages.macys.com/is/image/MCY/18520659 ")</f>
        <v xml:space="preserve">http://slimages.macys.com/is/image/MCY/18520659 </v>
      </c>
      <c r="N310" s="30"/>
    </row>
    <row r="311" spans="1:14" ht="60" x14ac:dyDescent="0.25">
      <c r="A311" s="19" t="s">
        <v>9429</v>
      </c>
      <c r="B311" s="17" t="s">
        <v>9428</v>
      </c>
      <c r="C311" s="20">
        <v>1</v>
      </c>
      <c r="D311" s="18">
        <v>59</v>
      </c>
      <c r="E311" s="20" t="s">
        <v>9427</v>
      </c>
      <c r="F311" s="17" t="s">
        <v>28</v>
      </c>
      <c r="G311" s="19" t="s">
        <v>74</v>
      </c>
      <c r="H311" s="18">
        <v>11.8</v>
      </c>
      <c r="I311" s="17" t="s">
        <v>678</v>
      </c>
      <c r="J311" s="17" t="s">
        <v>404</v>
      </c>
      <c r="K311" s="17"/>
      <c r="L311" s="17"/>
      <c r="M311" s="16" t="str">
        <f>HYPERLINK("http://slimages.macys.com/is/image/MCY/18760686 ")</f>
        <v xml:space="preserve">http://slimages.macys.com/is/image/MCY/18760686 </v>
      </c>
      <c r="N311" s="30"/>
    </row>
    <row r="312" spans="1:14" ht="60" x14ac:dyDescent="0.25">
      <c r="A312" s="19" t="s">
        <v>5022</v>
      </c>
      <c r="B312" s="17" t="s">
        <v>5021</v>
      </c>
      <c r="C312" s="20">
        <v>1</v>
      </c>
      <c r="D312" s="18">
        <v>59</v>
      </c>
      <c r="E312" s="20">
        <v>10763054</v>
      </c>
      <c r="F312" s="17" t="s">
        <v>28</v>
      </c>
      <c r="G312" s="19" t="s">
        <v>139</v>
      </c>
      <c r="H312" s="18">
        <v>11.8</v>
      </c>
      <c r="I312" s="17" t="s">
        <v>358</v>
      </c>
      <c r="J312" s="17" t="s">
        <v>554</v>
      </c>
      <c r="K312" s="17"/>
      <c r="L312" s="17"/>
      <c r="M312" s="16" t="str">
        <f>HYPERLINK("http://slimages.macys.com/is/image/MCY/16878391 ")</f>
        <v xml:space="preserve">http://slimages.macys.com/is/image/MCY/16878391 </v>
      </c>
      <c r="N312" s="30"/>
    </row>
    <row r="313" spans="1:14" ht="60" x14ac:dyDescent="0.25">
      <c r="A313" s="19" t="s">
        <v>9426</v>
      </c>
      <c r="B313" s="17" t="s">
        <v>9425</v>
      </c>
      <c r="C313" s="20">
        <v>1</v>
      </c>
      <c r="D313" s="18">
        <v>59</v>
      </c>
      <c r="E313" s="20">
        <v>10763054</v>
      </c>
      <c r="F313" s="17" t="s">
        <v>28</v>
      </c>
      <c r="G313" s="19" t="s">
        <v>271</v>
      </c>
      <c r="H313" s="18">
        <v>11.8</v>
      </c>
      <c r="I313" s="17" t="s">
        <v>358</v>
      </c>
      <c r="J313" s="17" t="s">
        <v>554</v>
      </c>
      <c r="K313" s="17"/>
      <c r="L313" s="17"/>
      <c r="M313" s="16" t="str">
        <f>HYPERLINK("http://slimages.macys.com/is/image/MCY/16878391 ")</f>
        <v xml:space="preserve">http://slimages.macys.com/is/image/MCY/16878391 </v>
      </c>
      <c r="N313" s="30"/>
    </row>
    <row r="314" spans="1:14" ht="60" x14ac:dyDescent="0.25">
      <c r="A314" s="19" t="s">
        <v>9424</v>
      </c>
      <c r="B314" s="17" t="s">
        <v>9423</v>
      </c>
      <c r="C314" s="20">
        <v>1</v>
      </c>
      <c r="D314" s="18">
        <v>79</v>
      </c>
      <c r="E314" s="20">
        <v>2331929</v>
      </c>
      <c r="F314" s="17" t="s">
        <v>23</v>
      </c>
      <c r="G314" s="19" t="s">
        <v>50</v>
      </c>
      <c r="H314" s="18">
        <v>11.6</v>
      </c>
      <c r="I314" s="17" t="s">
        <v>80</v>
      </c>
      <c r="J314" s="17" t="s">
        <v>293</v>
      </c>
      <c r="K314" s="17"/>
      <c r="L314" s="17"/>
      <c r="M314" s="16" t="str">
        <f>HYPERLINK("http://slimages.macys.com/is/image/MCY/19455545 ")</f>
        <v xml:space="preserve">http://slimages.macys.com/is/image/MCY/19455545 </v>
      </c>
      <c r="N314" s="30"/>
    </row>
    <row r="315" spans="1:14" ht="60" x14ac:dyDescent="0.25">
      <c r="A315" s="19" t="s">
        <v>9422</v>
      </c>
      <c r="B315" s="17" t="s">
        <v>9421</v>
      </c>
      <c r="C315" s="20">
        <v>1</v>
      </c>
      <c r="D315" s="18">
        <v>69</v>
      </c>
      <c r="E315" s="20" t="s">
        <v>9420</v>
      </c>
      <c r="F315" s="17" t="s">
        <v>578</v>
      </c>
      <c r="G315" s="19" t="s">
        <v>101</v>
      </c>
      <c r="H315" s="18">
        <v>11.500000000000002</v>
      </c>
      <c r="I315" s="17" t="s">
        <v>129</v>
      </c>
      <c r="J315" s="17" t="s">
        <v>128</v>
      </c>
      <c r="K315" s="17"/>
      <c r="L315" s="17"/>
      <c r="M315" s="16" t="str">
        <f>HYPERLINK("http://slimages.macys.com/is/image/MCY/19463032 ")</f>
        <v xml:space="preserve">http://slimages.macys.com/is/image/MCY/19463032 </v>
      </c>
      <c r="N315" s="30"/>
    </row>
    <row r="316" spans="1:14" ht="60" x14ac:dyDescent="0.25">
      <c r="A316" s="19" t="s">
        <v>9419</v>
      </c>
      <c r="B316" s="17" t="s">
        <v>9418</v>
      </c>
      <c r="C316" s="20">
        <v>1</v>
      </c>
      <c r="D316" s="18">
        <v>69</v>
      </c>
      <c r="E316" s="20">
        <v>7031609</v>
      </c>
      <c r="F316" s="17" t="s">
        <v>91</v>
      </c>
      <c r="G316" s="19" t="s">
        <v>17</v>
      </c>
      <c r="H316" s="18">
        <v>11.500000000000002</v>
      </c>
      <c r="I316" s="17" t="s">
        <v>111</v>
      </c>
      <c r="J316" s="17" t="s">
        <v>110</v>
      </c>
      <c r="K316" s="17"/>
      <c r="L316" s="17"/>
      <c r="M316" s="16" t="str">
        <f>HYPERLINK("http://slimages.macys.com/is/image/MCY/19547353 ")</f>
        <v xml:space="preserve">http://slimages.macys.com/is/image/MCY/19547353 </v>
      </c>
      <c r="N316" s="30"/>
    </row>
    <row r="317" spans="1:14" ht="72" x14ac:dyDescent="0.25">
      <c r="A317" s="19" t="s">
        <v>9417</v>
      </c>
      <c r="B317" s="17" t="s">
        <v>9416</v>
      </c>
      <c r="C317" s="20">
        <v>1</v>
      </c>
      <c r="D317" s="18">
        <v>69</v>
      </c>
      <c r="E317" s="20">
        <v>7031020</v>
      </c>
      <c r="F317" s="17" t="s">
        <v>508</v>
      </c>
      <c r="G317" s="19" t="s">
        <v>62</v>
      </c>
      <c r="H317" s="18">
        <v>11.500000000000002</v>
      </c>
      <c r="I317" s="17" t="s">
        <v>111</v>
      </c>
      <c r="J317" s="17" t="s">
        <v>110</v>
      </c>
      <c r="K317" s="17" t="s">
        <v>637</v>
      </c>
      <c r="L317" s="17" t="s">
        <v>4469</v>
      </c>
      <c r="M317" s="16" t="str">
        <f>HYPERLINK("http://images.bloomingdales.com/is/image/BLM/11543337 ")</f>
        <v xml:space="preserve">http://images.bloomingdales.com/is/image/BLM/11543337 </v>
      </c>
      <c r="N317" s="30"/>
    </row>
    <row r="318" spans="1:14" ht="60" x14ac:dyDescent="0.25">
      <c r="A318" s="19" t="s">
        <v>3532</v>
      </c>
      <c r="B318" s="17" t="s">
        <v>3531</v>
      </c>
      <c r="C318" s="20">
        <v>1</v>
      </c>
      <c r="D318" s="18">
        <v>69</v>
      </c>
      <c r="E318" s="20">
        <v>7030601</v>
      </c>
      <c r="F318" s="17" t="s">
        <v>508</v>
      </c>
      <c r="G318" s="19" t="s">
        <v>62</v>
      </c>
      <c r="H318" s="18">
        <v>11.500000000000002</v>
      </c>
      <c r="I318" s="17" t="s">
        <v>111</v>
      </c>
      <c r="J318" s="17" t="s">
        <v>110</v>
      </c>
      <c r="K318" s="17" t="s">
        <v>637</v>
      </c>
      <c r="L318" s="17" t="s">
        <v>3530</v>
      </c>
      <c r="M318" s="16" t="str">
        <f>HYPERLINK("http://images.bloomingdales.com/is/image/BLM/11438022 ")</f>
        <v xml:space="preserve">http://images.bloomingdales.com/is/image/BLM/11438022 </v>
      </c>
      <c r="N318" s="30"/>
    </row>
    <row r="319" spans="1:14" ht="72" x14ac:dyDescent="0.25">
      <c r="A319" s="19" t="s">
        <v>9415</v>
      </c>
      <c r="B319" s="17" t="s">
        <v>9414</v>
      </c>
      <c r="C319" s="20">
        <v>1</v>
      </c>
      <c r="D319" s="18">
        <v>69</v>
      </c>
      <c r="E319" s="20">
        <v>7021100</v>
      </c>
      <c r="F319" s="17" t="s">
        <v>140</v>
      </c>
      <c r="G319" s="19" t="s">
        <v>50</v>
      </c>
      <c r="H319" s="18">
        <v>11.500000000000002</v>
      </c>
      <c r="I319" s="17" t="s">
        <v>111</v>
      </c>
      <c r="J319" s="17" t="s">
        <v>110</v>
      </c>
      <c r="K319" s="17" t="s">
        <v>637</v>
      </c>
      <c r="L319" s="17" t="s">
        <v>4469</v>
      </c>
      <c r="M319" s="16" t="str">
        <f>HYPERLINK("http://images.bloomingdales.com/is/image/BLM/11543369 ")</f>
        <v xml:space="preserve">http://images.bloomingdales.com/is/image/BLM/11543369 </v>
      </c>
      <c r="N319" s="30"/>
    </row>
    <row r="320" spans="1:14" ht="60" x14ac:dyDescent="0.25">
      <c r="A320" s="19" t="s">
        <v>9413</v>
      </c>
      <c r="B320" s="17" t="s">
        <v>9412</v>
      </c>
      <c r="C320" s="20">
        <v>1</v>
      </c>
      <c r="D320" s="18">
        <v>69</v>
      </c>
      <c r="E320" s="20">
        <v>10759016</v>
      </c>
      <c r="F320" s="17" t="s">
        <v>51</v>
      </c>
      <c r="G320" s="19" t="s">
        <v>197</v>
      </c>
      <c r="H320" s="18">
        <v>11.500000000000002</v>
      </c>
      <c r="I320" s="17" t="s">
        <v>144</v>
      </c>
      <c r="J320" s="17" t="s">
        <v>1211</v>
      </c>
      <c r="K320" s="17"/>
      <c r="L320" s="17"/>
      <c r="M320" s="16" t="str">
        <f>HYPERLINK("http://slimages.macys.com/is/image/MCY/16684628 ")</f>
        <v xml:space="preserve">http://slimages.macys.com/is/image/MCY/16684628 </v>
      </c>
      <c r="N320" s="30"/>
    </row>
    <row r="321" spans="1:14" ht="60" x14ac:dyDescent="0.25">
      <c r="A321" s="19" t="s">
        <v>9411</v>
      </c>
      <c r="B321" s="17" t="s">
        <v>9410</v>
      </c>
      <c r="C321" s="20">
        <v>1</v>
      </c>
      <c r="D321" s="18">
        <v>69</v>
      </c>
      <c r="E321" s="20">
        <v>10797674</v>
      </c>
      <c r="F321" s="17" t="s">
        <v>51</v>
      </c>
      <c r="G321" s="19" t="s">
        <v>271</v>
      </c>
      <c r="H321" s="18">
        <v>11.500000000000002</v>
      </c>
      <c r="I321" s="17" t="s">
        <v>1307</v>
      </c>
      <c r="J321" s="17" t="s">
        <v>1306</v>
      </c>
      <c r="K321" s="17"/>
      <c r="L321" s="17"/>
      <c r="M321" s="16" t="str">
        <f>HYPERLINK("http://slimages.macys.com/is/image/MCY/18492439 ")</f>
        <v xml:space="preserve">http://slimages.macys.com/is/image/MCY/18492439 </v>
      </c>
      <c r="N321" s="30"/>
    </row>
    <row r="322" spans="1:14" ht="60" x14ac:dyDescent="0.25">
      <c r="A322" s="19" t="s">
        <v>9409</v>
      </c>
      <c r="B322" s="17" t="s">
        <v>9408</v>
      </c>
      <c r="C322" s="20">
        <v>1</v>
      </c>
      <c r="D322" s="18">
        <v>59.5</v>
      </c>
      <c r="E322" s="20" t="s">
        <v>7298</v>
      </c>
      <c r="F322" s="17" t="s">
        <v>58</v>
      </c>
      <c r="G322" s="19" t="s">
        <v>57</v>
      </c>
      <c r="H322" s="18">
        <v>11.206666666666667</v>
      </c>
      <c r="I322" s="17" t="s">
        <v>56</v>
      </c>
      <c r="J322" s="17" t="s">
        <v>55</v>
      </c>
      <c r="K322" s="17"/>
      <c r="L322" s="17"/>
      <c r="M322" s="16" t="str">
        <f>HYPERLINK("http://slimages.macys.com/is/image/MCY/18863080 ")</f>
        <v xml:space="preserve">http://slimages.macys.com/is/image/MCY/18863080 </v>
      </c>
      <c r="N322" s="30"/>
    </row>
    <row r="323" spans="1:14" ht="60" x14ac:dyDescent="0.25">
      <c r="A323" s="19" t="s">
        <v>3516</v>
      </c>
      <c r="B323" s="17" t="s">
        <v>3515</v>
      </c>
      <c r="C323" s="20">
        <v>1</v>
      </c>
      <c r="D323" s="18">
        <v>59.5</v>
      </c>
      <c r="E323" s="20" t="s">
        <v>368</v>
      </c>
      <c r="F323" s="17" t="s">
        <v>63</v>
      </c>
      <c r="G323" s="19" t="s">
        <v>57</v>
      </c>
      <c r="H323" s="18">
        <v>11.206666666666667</v>
      </c>
      <c r="I323" s="17" t="s">
        <v>56</v>
      </c>
      <c r="J323" s="17" t="s">
        <v>55</v>
      </c>
      <c r="K323" s="17"/>
      <c r="L323" s="17"/>
      <c r="M323" s="16" t="str">
        <f>HYPERLINK("http://slimages.macys.com/is/image/MCY/19019250 ")</f>
        <v xml:space="preserve">http://slimages.macys.com/is/image/MCY/19019250 </v>
      </c>
      <c r="N323" s="30"/>
    </row>
    <row r="324" spans="1:14" ht="60" x14ac:dyDescent="0.25">
      <c r="A324" s="19" t="s">
        <v>9407</v>
      </c>
      <c r="B324" s="17" t="s">
        <v>9406</v>
      </c>
      <c r="C324" s="20">
        <v>1</v>
      </c>
      <c r="D324" s="18">
        <v>59.5</v>
      </c>
      <c r="E324" s="20" t="s">
        <v>368</v>
      </c>
      <c r="F324" s="17" t="s">
        <v>58</v>
      </c>
      <c r="G324" s="19" t="s">
        <v>62</v>
      </c>
      <c r="H324" s="18">
        <v>11.206666666666667</v>
      </c>
      <c r="I324" s="17" t="s">
        <v>56</v>
      </c>
      <c r="J324" s="17" t="s">
        <v>55</v>
      </c>
      <c r="K324" s="17"/>
      <c r="L324" s="17"/>
      <c r="M324" s="16" t="str">
        <f>HYPERLINK("http://slimages.macys.com/is/image/MCY/19019239 ")</f>
        <v xml:space="preserve">http://slimages.macys.com/is/image/MCY/19019239 </v>
      </c>
      <c r="N324" s="30"/>
    </row>
    <row r="325" spans="1:14" ht="60" x14ac:dyDescent="0.25">
      <c r="A325" s="19" t="s">
        <v>8289</v>
      </c>
      <c r="B325" s="17" t="s">
        <v>8288</v>
      </c>
      <c r="C325" s="20">
        <v>1</v>
      </c>
      <c r="D325" s="18">
        <v>59.5</v>
      </c>
      <c r="E325" s="20" t="s">
        <v>368</v>
      </c>
      <c r="F325" s="17" t="s">
        <v>58</v>
      </c>
      <c r="G325" s="19" t="s">
        <v>74</v>
      </c>
      <c r="H325" s="18">
        <v>11.206666666666667</v>
      </c>
      <c r="I325" s="17" t="s">
        <v>56</v>
      </c>
      <c r="J325" s="17" t="s">
        <v>55</v>
      </c>
      <c r="K325" s="17"/>
      <c r="L325" s="17"/>
      <c r="M325" s="16" t="str">
        <f>HYPERLINK("http://slimages.macys.com/is/image/MCY/19019239 ")</f>
        <v xml:space="preserve">http://slimages.macys.com/is/image/MCY/19019239 </v>
      </c>
      <c r="N325" s="30"/>
    </row>
    <row r="326" spans="1:14" ht="60" x14ac:dyDescent="0.25">
      <c r="A326" s="19" t="s">
        <v>9405</v>
      </c>
      <c r="B326" s="17" t="s">
        <v>9404</v>
      </c>
      <c r="C326" s="20">
        <v>1</v>
      </c>
      <c r="D326" s="18">
        <v>59.5</v>
      </c>
      <c r="E326" s="20" t="s">
        <v>368</v>
      </c>
      <c r="F326" s="17" t="s">
        <v>63</v>
      </c>
      <c r="G326" s="19" t="s">
        <v>74</v>
      </c>
      <c r="H326" s="18">
        <v>11.206666666666667</v>
      </c>
      <c r="I326" s="17" t="s">
        <v>56</v>
      </c>
      <c r="J326" s="17" t="s">
        <v>55</v>
      </c>
      <c r="K326" s="17"/>
      <c r="L326" s="17"/>
      <c r="M326" s="16" t="str">
        <f>HYPERLINK("http://slimages.macys.com/is/image/MCY/19019250 ")</f>
        <v xml:space="preserve">http://slimages.macys.com/is/image/MCY/19019250 </v>
      </c>
      <c r="N326" s="30"/>
    </row>
    <row r="327" spans="1:14" ht="60" x14ac:dyDescent="0.25">
      <c r="A327" s="19" t="s">
        <v>7300</v>
      </c>
      <c r="B327" s="17" t="s">
        <v>7299</v>
      </c>
      <c r="C327" s="20">
        <v>1</v>
      </c>
      <c r="D327" s="18">
        <v>59.5</v>
      </c>
      <c r="E327" s="20" t="s">
        <v>7298</v>
      </c>
      <c r="F327" s="17" t="s">
        <v>51</v>
      </c>
      <c r="G327" s="19" t="s">
        <v>57</v>
      </c>
      <c r="H327" s="18">
        <v>11.206666666666667</v>
      </c>
      <c r="I327" s="17" t="s">
        <v>56</v>
      </c>
      <c r="J327" s="17" t="s">
        <v>55</v>
      </c>
      <c r="K327" s="17"/>
      <c r="L327" s="17"/>
      <c r="M327" s="16" t="str">
        <f>HYPERLINK("http://slimages.macys.com/is/image/MCY/18863080 ")</f>
        <v xml:space="preserve">http://slimages.macys.com/is/image/MCY/18863080 </v>
      </c>
      <c r="N327" s="30"/>
    </row>
    <row r="328" spans="1:14" ht="60" x14ac:dyDescent="0.25">
      <c r="A328" s="19" t="s">
        <v>9403</v>
      </c>
      <c r="B328" s="17" t="s">
        <v>9402</v>
      </c>
      <c r="C328" s="20">
        <v>1</v>
      </c>
      <c r="D328" s="18">
        <v>59.5</v>
      </c>
      <c r="E328" s="20" t="s">
        <v>7298</v>
      </c>
      <c r="F328" s="17" t="s">
        <v>58</v>
      </c>
      <c r="G328" s="19" t="s">
        <v>74</v>
      </c>
      <c r="H328" s="18">
        <v>11.206666666666667</v>
      </c>
      <c r="I328" s="17" t="s">
        <v>56</v>
      </c>
      <c r="J328" s="17" t="s">
        <v>55</v>
      </c>
      <c r="K328" s="17"/>
      <c r="L328" s="17"/>
      <c r="M328" s="16" t="str">
        <f>HYPERLINK("http://slimages.macys.com/is/image/MCY/18863080 ")</f>
        <v xml:space="preserve">http://slimages.macys.com/is/image/MCY/18863080 </v>
      </c>
      <c r="N328" s="30"/>
    </row>
    <row r="329" spans="1:14" ht="60" x14ac:dyDescent="0.25">
      <c r="A329" s="19" t="s">
        <v>9401</v>
      </c>
      <c r="B329" s="17" t="s">
        <v>9400</v>
      </c>
      <c r="C329" s="20">
        <v>1</v>
      </c>
      <c r="D329" s="18">
        <v>59.5</v>
      </c>
      <c r="E329" s="20" t="s">
        <v>368</v>
      </c>
      <c r="F329" s="17" t="s">
        <v>63</v>
      </c>
      <c r="G329" s="19" t="s">
        <v>62</v>
      </c>
      <c r="H329" s="18">
        <v>11.206666666666667</v>
      </c>
      <c r="I329" s="17" t="s">
        <v>56</v>
      </c>
      <c r="J329" s="17" t="s">
        <v>55</v>
      </c>
      <c r="K329" s="17"/>
      <c r="L329" s="17"/>
      <c r="M329" s="16" t="str">
        <f>HYPERLINK("http://slimages.macys.com/is/image/MCY/19019250 ")</f>
        <v xml:space="preserve">http://slimages.macys.com/is/image/MCY/19019250 </v>
      </c>
      <c r="N329" s="30"/>
    </row>
    <row r="330" spans="1:14" ht="60" x14ac:dyDescent="0.25">
      <c r="A330" s="19" t="s">
        <v>9399</v>
      </c>
      <c r="B330" s="17" t="s">
        <v>9398</v>
      </c>
      <c r="C330" s="20">
        <v>1</v>
      </c>
      <c r="D330" s="18">
        <v>59.5</v>
      </c>
      <c r="E330" s="20" t="s">
        <v>7298</v>
      </c>
      <c r="F330" s="17" t="s">
        <v>58</v>
      </c>
      <c r="G330" s="19" t="s">
        <v>27</v>
      </c>
      <c r="H330" s="18">
        <v>11.206666666666667</v>
      </c>
      <c r="I330" s="17" t="s">
        <v>56</v>
      </c>
      <c r="J330" s="17" t="s">
        <v>55</v>
      </c>
      <c r="K330" s="17"/>
      <c r="L330" s="17"/>
      <c r="M330" s="16" t="str">
        <f>HYPERLINK("http://slimages.macys.com/is/image/MCY/18863080 ")</f>
        <v xml:space="preserve">http://slimages.macys.com/is/image/MCY/18863080 </v>
      </c>
      <c r="N330" s="30"/>
    </row>
    <row r="331" spans="1:14" ht="60" x14ac:dyDescent="0.25">
      <c r="A331" s="19" t="s">
        <v>9397</v>
      </c>
      <c r="B331" s="17" t="s">
        <v>9396</v>
      </c>
      <c r="C331" s="20">
        <v>1</v>
      </c>
      <c r="D331" s="18">
        <v>59.5</v>
      </c>
      <c r="E331" s="20" t="s">
        <v>7298</v>
      </c>
      <c r="F331" s="17" t="s">
        <v>58</v>
      </c>
      <c r="G331" s="19" t="s">
        <v>197</v>
      </c>
      <c r="H331" s="18">
        <v>11.206666666666667</v>
      </c>
      <c r="I331" s="17" t="s">
        <v>56</v>
      </c>
      <c r="J331" s="17" t="s">
        <v>55</v>
      </c>
      <c r="K331" s="17"/>
      <c r="L331" s="17"/>
      <c r="M331" s="16" t="str">
        <f>HYPERLINK("http://slimages.macys.com/is/image/MCY/18863080 ")</f>
        <v xml:space="preserve">http://slimages.macys.com/is/image/MCY/18863080 </v>
      </c>
      <c r="N331" s="30"/>
    </row>
    <row r="332" spans="1:14" ht="60" x14ac:dyDescent="0.25">
      <c r="A332" s="19" t="s">
        <v>8282</v>
      </c>
      <c r="B332" s="17" t="s">
        <v>8281</v>
      </c>
      <c r="C332" s="20">
        <v>1</v>
      </c>
      <c r="D332" s="18">
        <v>59.5</v>
      </c>
      <c r="E332" s="20" t="s">
        <v>368</v>
      </c>
      <c r="F332" s="17" t="s">
        <v>51</v>
      </c>
      <c r="G332" s="19" t="s">
        <v>74</v>
      </c>
      <c r="H332" s="18">
        <v>11.206666666666667</v>
      </c>
      <c r="I332" s="17" t="s">
        <v>56</v>
      </c>
      <c r="J332" s="17" t="s">
        <v>55</v>
      </c>
      <c r="K332" s="17"/>
      <c r="L332" s="17"/>
      <c r="M332" s="16" t="str">
        <f>HYPERLINK("http://slimages.macys.com/is/image/MCY/19019239 ")</f>
        <v xml:space="preserve">http://slimages.macys.com/is/image/MCY/19019239 </v>
      </c>
      <c r="N332" s="30"/>
    </row>
    <row r="333" spans="1:14" ht="60" x14ac:dyDescent="0.25">
      <c r="A333" s="19" t="s">
        <v>9395</v>
      </c>
      <c r="B333" s="17" t="s">
        <v>9394</v>
      </c>
      <c r="C333" s="20">
        <v>1</v>
      </c>
      <c r="D333" s="18">
        <v>59.5</v>
      </c>
      <c r="E333" s="20" t="s">
        <v>7298</v>
      </c>
      <c r="F333" s="17" t="s">
        <v>58</v>
      </c>
      <c r="G333" s="19" t="s">
        <v>69</v>
      </c>
      <c r="H333" s="18">
        <v>11.206666666666667</v>
      </c>
      <c r="I333" s="17" t="s">
        <v>56</v>
      </c>
      <c r="J333" s="17" t="s">
        <v>55</v>
      </c>
      <c r="K333" s="17"/>
      <c r="L333" s="17"/>
      <c r="M333" s="16" t="str">
        <f>HYPERLINK("http://slimages.macys.com/is/image/MCY/18863080 ")</f>
        <v xml:space="preserve">http://slimages.macys.com/is/image/MCY/18863080 </v>
      </c>
      <c r="N333" s="30"/>
    </row>
    <row r="334" spans="1:14" ht="60" x14ac:dyDescent="0.25">
      <c r="A334" s="19" t="s">
        <v>9393</v>
      </c>
      <c r="B334" s="17" t="s">
        <v>9392</v>
      </c>
      <c r="C334" s="20">
        <v>2</v>
      </c>
      <c r="D334" s="18">
        <v>59.5</v>
      </c>
      <c r="E334" s="20" t="s">
        <v>1086</v>
      </c>
      <c r="F334" s="17" t="s">
        <v>58</v>
      </c>
      <c r="G334" s="19" t="s">
        <v>57</v>
      </c>
      <c r="H334" s="18">
        <v>11.206666666666667</v>
      </c>
      <c r="I334" s="17" t="s">
        <v>56</v>
      </c>
      <c r="J334" s="17" t="s">
        <v>55</v>
      </c>
      <c r="K334" s="17"/>
      <c r="L334" s="17"/>
      <c r="M334" s="16" t="str">
        <f>HYPERLINK("http://slimages.macys.com/is/image/MCY/19182892 ")</f>
        <v xml:space="preserve">http://slimages.macys.com/is/image/MCY/19182892 </v>
      </c>
      <c r="N334" s="30"/>
    </row>
    <row r="335" spans="1:14" ht="60" x14ac:dyDescent="0.25">
      <c r="A335" s="19" t="s">
        <v>9391</v>
      </c>
      <c r="B335" s="17" t="s">
        <v>9390</v>
      </c>
      <c r="C335" s="20">
        <v>2</v>
      </c>
      <c r="D335" s="18">
        <v>59.5</v>
      </c>
      <c r="E335" s="20" t="s">
        <v>1086</v>
      </c>
      <c r="F335" s="17" t="s">
        <v>58</v>
      </c>
      <c r="G335" s="19" t="s">
        <v>197</v>
      </c>
      <c r="H335" s="18">
        <v>11.206666666666667</v>
      </c>
      <c r="I335" s="17" t="s">
        <v>56</v>
      </c>
      <c r="J335" s="17" t="s">
        <v>55</v>
      </c>
      <c r="K335" s="17"/>
      <c r="L335" s="17"/>
      <c r="M335" s="16" t="str">
        <f>HYPERLINK("http://slimages.macys.com/is/image/MCY/19182892 ")</f>
        <v xml:space="preserve">http://slimages.macys.com/is/image/MCY/19182892 </v>
      </c>
      <c r="N335" s="30"/>
    </row>
    <row r="336" spans="1:14" ht="60" x14ac:dyDescent="0.25">
      <c r="A336" s="19" t="s">
        <v>9389</v>
      </c>
      <c r="B336" s="17" t="s">
        <v>9388</v>
      </c>
      <c r="C336" s="20">
        <v>1</v>
      </c>
      <c r="D336" s="18">
        <v>59.5</v>
      </c>
      <c r="E336" s="20" t="s">
        <v>1086</v>
      </c>
      <c r="F336" s="17" t="s">
        <v>58</v>
      </c>
      <c r="G336" s="19" t="s">
        <v>74</v>
      </c>
      <c r="H336" s="18">
        <v>11.206666666666667</v>
      </c>
      <c r="I336" s="17" t="s">
        <v>56</v>
      </c>
      <c r="J336" s="17" t="s">
        <v>55</v>
      </c>
      <c r="K336" s="17"/>
      <c r="L336" s="17"/>
      <c r="M336" s="16" t="str">
        <f>HYPERLINK("http://slimages.macys.com/is/image/MCY/19182892 ")</f>
        <v xml:space="preserve">http://slimages.macys.com/is/image/MCY/19182892 </v>
      </c>
      <c r="N336" s="30"/>
    </row>
    <row r="337" spans="1:14" ht="72" x14ac:dyDescent="0.25">
      <c r="A337" s="19" t="s">
        <v>9387</v>
      </c>
      <c r="B337" s="17" t="s">
        <v>9386</v>
      </c>
      <c r="C337" s="20">
        <v>1</v>
      </c>
      <c r="D337" s="18">
        <v>69.5</v>
      </c>
      <c r="E337" s="20" t="s">
        <v>9385</v>
      </c>
      <c r="F337" s="17" t="s">
        <v>263</v>
      </c>
      <c r="G337" s="19" t="s">
        <v>749</v>
      </c>
      <c r="H337" s="18">
        <v>11.206666666666667</v>
      </c>
      <c r="I337" s="17" t="s">
        <v>68</v>
      </c>
      <c r="J337" s="17" t="s">
        <v>67</v>
      </c>
      <c r="K337" s="17" t="s">
        <v>389</v>
      </c>
      <c r="L337" s="17" t="s">
        <v>9384</v>
      </c>
      <c r="M337" s="16" t="str">
        <f>HYPERLINK("http://slimages.macys.com/is/image/MCY/11527895 ")</f>
        <v xml:space="preserve">http://slimages.macys.com/is/image/MCY/11527895 </v>
      </c>
      <c r="N337" s="30"/>
    </row>
    <row r="338" spans="1:14" ht="60" x14ac:dyDescent="0.25">
      <c r="A338" s="19" t="s">
        <v>9383</v>
      </c>
      <c r="B338" s="17" t="s">
        <v>9382</v>
      </c>
      <c r="C338" s="20">
        <v>1</v>
      </c>
      <c r="D338" s="18">
        <v>59.5</v>
      </c>
      <c r="E338" s="20" t="s">
        <v>5002</v>
      </c>
      <c r="F338" s="17" t="s">
        <v>58</v>
      </c>
      <c r="G338" s="19" t="s">
        <v>682</v>
      </c>
      <c r="H338" s="18">
        <v>11.206666666666667</v>
      </c>
      <c r="I338" s="17" t="s">
        <v>68</v>
      </c>
      <c r="J338" s="17" t="s">
        <v>67</v>
      </c>
      <c r="K338" s="17" t="s">
        <v>389</v>
      </c>
      <c r="L338" s="17" t="s">
        <v>1804</v>
      </c>
      <c r="M338" s="16" t="str">
        <f>HYPERLINK("http://slimages.macys.com/is/image/MCY/8286541 ")</f>
        <v xml:space="preserve">http://slimages.macys.com/is/image/MCY/8286541 </v>
      </c>
      <c r="N338" s="30"/>
    </row>
    <row r="339" spans="1:14" ht="60" x14ac:dyDescent="0.25">
      <c r="A339" s="19" t="s">
        <v>7290</v>
      </c>
      <c r="B339" s="17" t="s">
        <v>7289</v>
      </c>
      <c r="C339" s="20">
        <v>1</v>
      </c>
      <c r="D339" s="18">
        <v>59.5</v>
      </c>
      <c r="E339" s="20" t="s">
        <v>6446</v>
      </c>
      <c r="F339" s="17" t="s">
        <v>28</v>
      </c>
      <c r="G339" s="19" t="s">
        <v>139</v>
      </c>
      <c r="H339" s="18">
        <v>11.206666666666667</v>
      </c>
      <c r="I339" s="17" t="s">
        <v>1891</v>
      </c>
      <c r="J339" s="17" t="s">
        <v>2435</v>
      </c>
      <c r="K339" s="17"/>
      <c r="L339" s="17"/>
      <c r="M339" s="16" t="str">
        <f>HYPERLINK("http://slimages.macys.com/is/image/MCY/17804339 ")</f>
        <v xml:space="preserve">http://slimages.macys.com/is/image/MCY/17804339 </v>
      </c>
      <c r="N339" s="30"/>
    </row>
    <row r="340" spans="1:14" ht="60" x14ac:dyDescent="0.25">
      <c r="A340" s="19" t="s">
        <v>9381</v>
      </c>
      <c r="B340" s="17" t="s">
        <v>9380</v>
      </c>
      <c r="C340" s="20">
        <v>1</v>
      </c>
      <c r="D340" s="18">
        <v>59.5</v>
      </c>
      <c r="E340" s="20" t="s">
        <v>1086</v>
      </c>
      <c r="F340" s="17" t="s">
        <v>58</v>
      </c>
      <c r="G340" s="19" t="s">
        <v>62</v>
      </c>
      <c r="H340" s="18">
        <v>11.206666666666667</v>
      </c>
      <c r="I340" s="17" t="s">
        <v>56</v>
      </c>
      <c r="J340" s="17" t="s">
        <v>55</v>
      </c>
      <c r="K340" s="17"/>
      <c r="L340" s="17"/>
      <c r="M340" s="16" t="str">
        <f>HYPERLINK("http://slimages.macys.com/is/image/MCY/19182892 ")</f>
        <v xml:space="preserve">http://slimages.macys.com/is/image/MCY/19182892 </v>
      </c>
      <c r="N340" s="30"/>
    </row>
    <row r="341" spans="1:14" ht="60" x14ac:dyDescent="0.25">
      <c r="A341" s="19" t="s">
        <v>4347</v>
      </c>
      <c r="B341" s="17" t="s">
        <v>4346</v>
      </c>
      <c r="C341" s="20">
        <v>1</v>
      </c>
      <c r="D341" s="18">
        <v>59.5</v>
      </c>
      <c r="E341" s="20" t="s">
        <v>1086</v>
      </c>
      <c r="F341" s="17" t="s">
        <v>58</v>
      </c>
      <c r="G341" s="19" t="s">
        <v>69</v>
      </c>
      <c r="H341" s="18">
        <v>11.206666666666667</v>
      </c>
      <c r="I341" s="17" t="s">
        <v>56</v>
      </c>
      <c r="J341" s="17" t="s">
        <v>55</v>
      </c>
      <c r="K341" s="17"/>
      <c r="L341" s="17"/>
      <c r="M341" s="16" t="str">
        <f>HYPERLINK("http://slimages.macys.com/is/image/MCY/19182892 ")</f>
        <v xml:space="preserve">http://slimages.macys.com/is/image/MCY/19182892 </v>
      </c>
      <c r="N341" s="30"/>
    </row>
    <row r="342" spans="1:14" ht="60" x14ac:dyDescent="0.25">
      <c r="A342" s="19" t="s">
        <v>9379</v>
      </c>
      <c r="B342" s="17" t="s">
        <v>9378</v>
      </c>
      <c r="C342" s="20">
        <v>1</v>
      </c>
      <c r="D342" s="18">
        <v>59.5</v>
      </c>
      <c r="E342" s="20" t="s">
        <v>8278</v>
      </c>
      <c r="F342" s="17" t="s">
        <v>58</v>
      </c>
      <c r="G342" s="19" t="s">
        <v>197</v>
      </c>
      <c r="H342" s="18">
        <v>11.2</v>
      </c>
      <c r="I342" s="17" t="s">
        <v>56</v>
      </c>
      <c r="J342" s="17" t="s">
        <v>55</v>
      </c>
      <c r="K342" s="17"/>
      <c r="L342" s="17"/>
      <c r="M342" s="16" t="str">
        <f>HYPERLINK("http://slimages.macys.com/is/image/MCY/18941607 ")</f>
        <v xml:space="preserve">http://slimages.macys.com/is/image/MCY/18941607 </v>
      </c>
      <c r="N342" s="30"/>
    </row>
    <row r="343" spans="1:14" ht="60" x14ac:dyDescent="0.25">
      <c r="A343" s="19" t="s">
        <v>9377</v>
      </c>
      <c r="B343" s="17" t="s">
        <v>9376</v>
      </c>
      <c r="C343" s="20">
        <v>1</v>
      </c>
      <c r="D343" s="18">
        <v>59.5</v>
      </c>
      <c r="E343" s="20" t="s">
        <v>9375</v>
      </c>
      <c r="F343" s="17" t="s">
        <v>578</v>
      </c>
      <c r="G343" s="19" t="s">
        <v>74</v>
      </c>
      <c r="H343" s="18">
        <v>11.2</v>
      </c>
      <c r="I343" s="17" t="s">
        <v>68</v>
      </c>
      <c r="J343" s="17" t="s">
        <v>67</v>
      </c>
      <c r="K343" s="17"/>
      <c r="L343" s="17"/>
      <c r="M343" s="16" t="str">
        <f>HYPERLINK("http://slimages.macys.com/is/image/MCY/18148725 ")</f>
        <v xml:space="preserve">http://slimages.macys.com/is/image/MCY/18148725 </v>
      </c>
      <c r="N343" s="30"/>
    </row>
    <row r="344" spans="1:14" ht="60" x14ac:dyDescent="0.25">
      <c r="A344" s="19" t="s">
        <v>9374</v>
      </c>
      <c r="B344" s="17" t="s">
        <v>9373</v>
      </c>
      <c r="C344" s="20">
        <v>1</v>
      </c>
      <c r="D344" s="18">
        <v>59.5</v>
      </c>
      <c r="E344" s="20">
        <v>30097116</v>
      </c>
      <c r="F344" s="17" t="s">
        <v>23</v>
      </c>
      <c r="G344" s="19" t="s">
        <v>57</v>
      </c>
      <c r="H344" s="18">
        <v>11.106666666666667</v>
      </c>
      <c r="I344" s="17" t="s">
        <v>80</v>
      </c>
      <c r="J344" s="17" t="s">
        <v>513</v>
      </c>
      <c r="K344" s="17"/>
      <c r="L344" s="17"/>
      <c r="M344" s="16" t="str">
        <f>HYPERLINK("http://slimages.macys.com/is/image/MCY/18849033 ")</f>
        <v xml:space="preserve">http://slimages.macys.com/is/image/MCY/18849033 </v>
      </c>
      <c r="N344" s="30"/>
    </row>
    <row r="345" spans="1:14" ht="60" x14ac:dyDescent="0.25">
      <c r="A345" s="19" t="s">
        <v>9372</v>
      </c>
      <c r="B345" s="17" t="s">
        <v>9371</v>
      </c>
      <c r="C345" s="20">
        <v>1</v>
      </c>
      <c r="D345" s="18">
        <v>59.5</v>
      </c>
      <c r="E345" s="20">
        <v>30123113</v>
      </c>
      <c r="F345" s="17" t="s">
        <v>149</v>
      </c>
      <c r="G345" s="19" t="s">
        <v>74</v>
      </c>
      <c r="H345" s="18">
        <v>11.106666666666667</v>
      </c>
      <c r="I345" s="17" t="s">
        <v>80</v>
      </c>
      <c r="J345" s="17" t="s">
        <v>513</v>
      </c>
      <c r="K345" s="17"/>
      <c r="L345" s="17"/>
      <c r="M345" s="16" t="str">
        <f>HYPERLINK("http://slimages.macys.com/is/image/MCY/18259705 ")</f>
        <v xml:space="preserve">http://slimages.macys.com/is/image/MCY/18259705 </v>
      </c>
      <c r="N345" s="30"/>
    </row>
    <row r="346" spans="1:14" ht="60" x14ac:dyDescent="0.25">
      <c r="A346" s="19" t="s">
        <v>9370</v>
      </c>
      <c r="B346" s="17" t="s">
        <v>9369</v>
      </c>
      <c r="C346" s="20">
        <v>2</v>
      </c>
      <c r="D346" s="18">
        <v>45</v>
      </c>
      <c r="E346" s="20" t="s">
        <v>7275</v>
      </c>
      <c r="F346" s="17" t="s">
        <v>51</v>
      </c>
      <c r="G346" s="19" t="s">
        <v>62</v>
      </c>
      <c r="H346" s="18">
        <v>10.953333333333333</v>
      </c>
      <c r="I346" s="17" t="s">
        <v>16</v>
      </c>
      <c r="J346" s="17" t="s">
        <v>15</v>
      </c>
      <c r="K346" s="17" t="s">
        <v>389</v>
      </c>
      <c r="L346" s="17" t="s">
        <v>1129</v>
      </c>
      <c r="M346" s="16" t="str">
        <f>HYPERLINK("http://slimages.macys.com/is/image/MCY/13638610 ")</f>
        <v xml:space="preserve">http://slimages.macys.com/is/image/MCY/13638610 </v>
      </c>
      <c r="N346" s="30"/>
    </row>
    <row r="347" spans="1:14" ht="60" x14ac:dyDescent="0.25">
      <c r="A347" s="19" t="s">
        <v>9368</v>
      </c>
      <c r="B347" s="17" t="s">
        <v>9367</v>
      </c>
      <c r="C347" s="20">
        <v>1</v>
      </c>
      <c r="D347" s="18">
        <v>59.5</v>
      </c>
      <c r="E347" s="20" t="s">
        <v>7267</v>
      </c>
      <c r="F347" s="17" t="s">
        <v>58</v>
      </c>
      <c r="G347" s="19" t="s">
        <v>271</v>
      </c>
      <c r="H347" s="18">
        <v>10.906666666666666</v>
      </c>
      <c r="I347" s="17" t="s">
        <v>267</v>
      </c>
      <c r="J347" s="17" t="s">
        <v>32</v>
      </c>
      <c r="K347" s="17"/>
      <c r="L347" s="17"/>
      <c r="M347" s="16" t="str">
        <f>HYPERLINK("http://slimages.macys.com/is/image/MCY/19044233 ")</f>
        <v xml:space="preserve">http://slimages.macys.com/is/image/MCY/19044233 </v>
      </c>
      <c r="N347" s="30"/>
    </row>
    <row r="348" spans="1:14" ht="60" x14ac:dyDescent="0.25">
      <c r="A348" s="19" t="s">
        <v>9366</v>
      </c>
      <c r="B348" s="17" t="s">
        <v>9365</v>
      </c>
      <c r="C348" s="20">
        <v>1</v>
      </c>
      <c r="D348" s="18">
        <v>59.5</v>
      </c>
      <c r="E348" s="20" t="s">
        <v>9364</v>
      </c>
      <c r="F348" s="17" t="s">
        <v>51</v>
      </c>
      <c r="G348" s="19" t="s">
        <v>139</v>
      </c>
      <c r="H348" s="18">
        <v>10.906666666666666</v>
      </c>
      <c r="I348" s="17" t="s">
        <v>267</v>
      </c>
      <c r="J348" s="17" t="s">
        <v>32</v>
      </c>
      <c r="K348" s="17"/>
      <c r="L348" s="17"/>
      <c r="M348" s="16" t="str">
        <f>HYPERLINK("http://slimages.macys.com/is/image/MCY/15502461 ")</f>
        <v xml:space="preserve">http://slimages.macys.com/is/image/MCY/15502461 </v>
      </c>
      <c r="N348" s="30"/>
    </row>
    <row r="349" spans="1:14" ht="60" x14ac:dyDescent="0.25">
      <c r="A349" s="19" t="s">
        <v>9363</v>
      </c>
      <c r="B349" s="17" t="s">
        <v>9362</v>
      </c>
      <c r="C349" s="20">
        <v>1</v>
      </c>
      <c r="D349" s="18">
        <v>59.5</v>
      </c>
      <c r="E349" s="20" t="s">
        <v>7272</v>
      </c>
      <c r="F349" s="17" t="s">
        <v>164</v>
      </c>
      <c r="G349" s="19" t="s">
        <v>271</v>
      </c>
      <c r="H349" s="18">
        <v>10.906666666666666</v>
      </c>
      <c r="I349" s="17" t="s">
        <v>267</v>
      </c>
      <c r="J349" s="17" t="s">
        <v>32</v>
      </c>
      <c r="K349" s="17"/>
      <c r="L349" s="17"/>
      <c r="M349" s="16" t="str">
        <f>HYPERLINK("http://slimages.macys.com/is/image/MCY/18831508 ")</f>
        <v xml:space="preserve">http://slimages.macys.com/is/image/MCY/18831508 </v>
      </c>
      <c r="N349" s="30"/>
    </row>
    <row r="350" spans="1:14" ht="60" x14ac:dyDescent="0.25">
      <c r="A350" s="19" t="s">
        <v>9361</v>
      </c>
      <c r="B350" s="17" t="s">
        <v>9360</v>
      </c>
      <c r="C350" s="20">
        <v>1</v>
      </c>
      <c r="D350" s="18">
        <v>59.5</v>
      </c>
      <c r="E350" s="20" t="s">
        <v>9359</v>
      </c>
      <c r="F350" s="17" t="s">
        <v>51</v>
      </c>
      <c r="G350" s="19" t="s">
        <v>351</v>
      </c>
      <c r="H350" s="18">
        <v>10.906666666666666</v>
      </c>
      <c r="I350" s="17" t="s">
        <v>267</v>
      </c>
      <c r="J350" s="17" t="s">
        <v>32</v>
      </c>
      <c r="K350" s="17"/>
      <c r="L350" s="17"/>
      <c r="M350" s="16" t="str">
        <f>HYPERLINK("http://slimages.macys.com/is/image/MCY/19306759 ")</f>
        <v xml:space="preserve">http://slimages.macys.com/is/image/MCY/19306759 </v>
      </c>
      <c r="N350" s="30"/>
    </row>
    <row r="351" spans="1:14" ht="60" x14ac:dyDescent="0.25">
      <c r="A351" s="19" t="s">
        <v>9358</v>
      </c>
      <c r="B351" s="17" t="s">
        <v>9357</v>
      </c>
      <c r="C351" s="20">
        <v>1</v>
      </c>
      <c r="D351" s="18">
        <v>59.5</v>
      </c>
      <c r="E351" s="20" t="s">
        <v>9356</v>
      </c>
      <c r="F351" s="17" t="s">
        <v>1356</v>
      </c>
      <c r="G351" s="19" t="s">
        <v>139</v>
      </c>
      <c r="H351" s="18">
        <v>10.906666666666666</v>
      </c>
      <c r="I351" s="17" t="s">
        <v>267</v>
      </c>
      <c r="J351" s="17" t="s">
        <v>32</v>
      </c>
      <c r="K351" s="17"/>
      <c r="L351" s="17"/>
      <c r="M351" s="16" t="str">
        <f>HYPERLINK("http://slimages.macys.com/is/image/MCY/19306803 ")</f>
        <v xml:space="preserve">http://slimages.macys.com/is/image/MCY/19306803 </v>
      </c>
      <c r="N351" s="30"/>
    </row>
    <row r="352" spans="1:14" ht="60" x14ac:dyDescent="0.25">
      <c r="A352" s="19" t="s">
        <v>5669</v>
      </c>
      <c r="B352" s="17" t="s">
        <v>5668</v>
      </c>
      <c r="C352" s="20">
        <v>1</v>
      </c>
      <c r="D352" s="18">
        <v>55</v>
      </c>
      <c r="E352" s="20" t="s">
        <v>2628</v>
      </c>
      <c r="F352" s="17" t="s">
        <v>558</v>
      </c>
      <c r="G352" s="19" t="s">
        <v>101</v>
      </c>
      <c r="H352" s="18">
        <v>10.9</v>
      </c>
      <c r="I352" s="17" t="s">
        <v>16</v>
      </c>
      <c r="J352" s="17" t="s">
        <v>15</v>
      </c>
      <c r="K352" s="17"/>
      <c r="L352" s="17"/>
      <c r="M352" s="16" t="str">
        <f>HYPERLINK("http://slimages.macys.com/is/image/MCY/18438496 ")</f>
        <v xml:space="preserve">http://slimages.macys.com/is/image/MCY/18438496 </v>
      </c>
      <c r="N352" s="30"/>
    </row>
    <row r="353" spans="1:14" ht="60" x14ac:dyDescent="0.25">
      <c r="A353" s="19" t="s">
        <v>9355</v>
      </c>
      <c r="B353" s="17" t="s">
        <v>9354</v>
      </c>
      <c r="C353" s="20">
        <v>1</v>
      </c>
      <c r="D353" s="18">
        <v>59</v>
      </c>
      <c r="E353" s="20" t="s">
        <v>2622</v>
      </c>
      <c r="F353" s="17" t="s">
        <v>345</v>
      </c>
      <c r="G353" s="19" t="s">
        <v>197</v>
      </c>
      <c r="H353" s="18">
        <v>10.893333333333333</v>
      </c>
      <c r="I353" s="17" t="s">
        <v>405</v>
      </c>
      <c r="J353" s="17" t="s">
        <v>404</v>
      </c>
      <c r="K353" s="17"/>
      <c r="L353" s="17"/>
      <c r="M353" s="16" t="str">
        <f>HYPERLINK("http://slimages.macys.com/is/image/MCY/18867810 ")</f>
        <v xml:space="preserve">http://slimages.macys.com/is/image/MCY/18867810 </v>
      </c>
      <c r="N353" s="30"/>
    </row>
    <row r="354" spans="1:14" ht="60" x14ac:dyDescent="0.25">
      <c r="A354" s="19" t="s">
        <v>9353</v>
      </c>
      <c r="B354" s="17" t="s">
        <v>9352</v>
      </c>
      <c r="C354" s="20">
        <v>1</v>
      </c>
      <c r="D354" s="18">
        <v>59</v>
      </c>
      <c r="E354" s="20" t="s">
        <v>2622</v>
      </c>
      <c r="F354" s="17" t="s">
        <v>345</v>
      </c>
      <c r="G354" s="19" t="s">
        <v>62</v>
      </c>
      <c r="H354" s="18">
        <v>10.893333333333333</v>
      </c>
      <c r="I354" s="17" t="s">
        <v>405</v>
      </c>
      <c r="J354" s="17" t="s">
        <v>404</v>
      </c>
      <c r="K354" s="17"/>
      <c r="L354" s="17"/>
      <c r="M354" s="16" t="str">
        <f>HYPERLINK("http://slimages.macys.com/is/image/MCY/18867810 ")</f>
        <v xml:space="preserve">http://slimages.macys.com/is/image/MCY/18867810 </v>
      </c>
      <c r="N354" s="30"/>
    </row>
    <row r="355" spans="1:14" ht="60" x14ac:dyDescent="0.25">
      <c r="A355" s="19" t="s">
        <v>9351</v>
      </c>
      <c r="B355" s="17" t="s">
        <v>9350</v>
      </c>
      <c r="C355" s="20">
        <v>1</v>
      </c>
      <c r="D355" s="18">
        <v>49</v>
      </c>
      <c r="E355" s="20" t="s">
        <v>3454</v>
      </c>
      <c r="F355" s="17" t="s">
        <v>206</v>
      </c>
      <c r="G355" s="19" t="s">
        <v>50</v>
      </c>
      <c r="H355" s="18">
        <v>10.813333333333334</v>
      </c>
      <c r="I355" s="17" t="s">
        <v>49</v>
      </c>
      <c r="J355" s="17" t="s">
        <v>48</v>
      </c>
      <c r="K355" s="17"/>
      <c r="L355" s="17"/>
      <c r="M355" s="16" t="str">
        <f>HYPERLINK("http://slimages.macys.com/is/image/MCY/18255043 ")</f>
        <v xml:space="preserve">http://slimages.macys.com/is/image/MCY/18255043 </v>
      </c>
      <c r="N355" s="30"/>
    </row>
    <row r="356" spans="1:14" ht="60" x14ac:dyDescent="0.25">
      <c r="A356" s="19" t="s">
        <v>9349</v>
      </c>
      <c r="B356" s="17" t="s">
        <v>9348</v>
      </c>
      <c r="C356" s="20">
        <v>1</v>
      </c>
      <c r="D356" s="18">
        <v>49</v>
      </c>
      <c r="E356" s="20" t="s">
        <v>9347</v>
      </c>
      <c r="F356" s="17" t="s">
        <v>544</v>
      </c>
      <c r="G356" s="19" t="s">
        <v>17</v>
      </c>
      <c r="H356" s="18">
        <v>10.813333333333334</v>
      </c>
      <c r="I356" s="17" t="s">
        <v>49</v>
      </c>
      <c r="J356" s="17" t="s">
        <v>48</v>
      </c>
      <c r="K356" s="17"/>
      <c r="L356" s="17"/>
      <c r="M356" s="16" t="str">
        <f>HYPERLINK("http://slimages.macys.com/is/image/MCY/18749152 ")</f>
        <v xml:space="preserve">http://slimages.macys.com/is/image/MCY/18749152 </v>
      </c>
      <c r="N356" s="30"/>
    </row>
    <row r="357" spans="1:14" ht="60" x14ac:dyDescent="0.25">
      <c r="A357" s="19" t="s">
        <v>9346</v>
      </c>
      <c r="B357" s="17" t="s">
        <v>9345</v>
      </c>
      <c r="C357" s="20">
        <v>1</v>
      </c>
      <c r="D357" s="18">
        <v>41.3</v>
      </c>
      <c r="E357" s="20" t="s">
        <v>1835</v>
      </c>
      <c r="F357" s="17" t="s">
        <v>28</v>
      </c>
      <c r="G357" s="19" t="s">
        <v>197</v>
      </c>
      <c r="H357" s="18">
        <v>10.773333333333335</v>
      </c>
      <c r="I357" s="17" t="s">
        <v>42</v>
      </c>
      <c r="J357" s="17" t="s">
        <v>41</v>
      </c>
      <c r="K357" s="17"/>
      <c r="L357" s="17"/>
      <c r="M357" s="16" t="str">
        <f>HYPERLINK("http://slimages.macys.com/is/image/MCY/18545247 ")</f>
        <v xml:space="preserve">http://slimages.macys.com/is/image/MCY/18545247 </v>
      </c>
      <c r="N357" s="30"/>
    </row>
    <row r="358" spans="1:14" ht="60" x14ac:dyDescent="0.25">
      <c r="A358" s="19" t="s">
        <v>9344</v>
      </c>
      <c r="B358" s="17" t="s">
        <v>9343</v>
      </c>
      <c r="C358" s="20">
        <v>1</v>
      </c>
      <c r="D358" s="18">
        <v>41.3</v>
      </c>
      <c r="E358" s="20" t="s">
        <v>6525</v>
      </c>
      <c r="F358" s="17" t="s">
        <v>58</v>
      </c>
      <c r="G358" s="19" t="s">
        <v>694</v>
      </c>
      <c r="H358" s="18">
        <v>10.773333333333335</v>
      </c>
      <c r="I358" s="17" t="s">
        <v>42</v>
      </c>
      <c r="J358" s="17" t="s">
        <v>41</v>
      </c>
      <c r="K358" s="17"/>
      <c r="L358" s="17"/>
      <c r="M358" s="16" t="str">
        <f>HYPERLINK("http://slimages.macys.com/is/image/MCY/18549070 ")</f>
        <v xml:space="preserve">http://slimages.macys.com/is/image/MCY/18549070 </v>
      </c>
      <c r="N358" s="30"/>
    </row>
    <row r="359" spans="1:14" ht="60" x14ac:dyDescent="0.25">
      <c r="A359" s="19" t="s">
        <v>6417</v>
      </c>
      <c r="B359" s="17" t="s">
        <v>6416</v>
      </c>
      <c r="C359" s="20">
        <v>1</v>
      </c>
      <c r="D359" s="18">
        <v>41.3</v>
      </c>
      <c r="E359" s="20" t="s">
        <v>6415</v>
      </c>
      <c r="F359" s="17" t="s">
        <v>58</v>
      </c>
      <c r="G359" s="19" t="s">
        <v>62</v>
      </c>
      <c r="H359" s="18">
        <v>10.773333333333335</v>
      </c>
      <c r="I359" s="17" t="s">
        <v>42</v>
      </c>
      <c r="J359" s="17" t="s">
        <v>41</v>
      </c>
      <c r="K359" s="17"/>
      <c r="L359" s="17"/>
      <c r="M359" s="16" t="str">
        <f>HYPERLINK("http://slimages.macys.com/is/image/MCY/18903929 ")</f>
        <v xml:space="preserve">http://slimages.macys.com/is/image/MCY/18903929 </v>
      </c>
      <c r="N359" s="30"/>
    </row>
    <row r="360" spans="1:14" ht="60" x14ac:dyDescent="0.25">
      <c r="A360" s="19" t="s">
        <v>9342</v>
      </c>
      <c r="B360" s="17" t="s">
        <v>9341</v>
      </c>
      <c r="C360" s="20">
        <v>1</v>
      </c>
      <c r="D360" s="18">
        <v>79</v>
      </c>
      <c r="E360" s="20">
        <v>9231040</v>
      </c>
      <c r="F360" s="17" t="s">
        <v>91</v>
      </c>
      <c r="G360" s="19" t="s">
        <v>271</v>
      </c>
      <c r="H360" s="18">
        <v>10.533333333333335</v>
      </c>
      <c r="I360" s="17" t="s">
        <v>138</v>
      </c>
      <c r="J360" s="17" t="s">
        <v>137</v>
      </c>
      <c r="K360" s="17"/>
      <c r="L360" s="17"/>
      <c r="M360" s="16" t="str">
        <f>HYPERLINK("http://slimages.macys.com/is/image/MCY/19196130 ")</f>
        <v xml:space="preserve">http://slimages.macys.com/is/image/MCY/19196130 </v>
      </c>
      <c r="N360" s="30"/>
    </row>
    <row r="361" spans="1:14" ht="60" x14ac:dyDescent="0.25">
      <c r="A361" s="19" t="s">
        <v>9340</v>
      </c>
      <c r="B361" s="17" t="s">
        <v>9339</v>
      </c>
      <c r="C361" s="20">
        <v>1</v>
      </c>
      <c r="D361" s="18">
        <v>49</v>
      </c>
      <c r="E361" s="20" t="s">
        <v>3430</v>
      </c>
      <c r="F361" s="17" t="s">
        <v>91</v>
      </c>
      <c r="G361" s="19" t="s">
        <v>17</v>
      </c>
      <c r="H361" s="18">
        <v>10.46</v>
      </c>
      <c r="I361" s="17" t="s">
        <v>49</v>
      </c>
      <c r="J361" s="17" t="s">
        <v>48</v>
      </c>
      <c r="K361" s="17"/>
      <c r="L361" s="17"/>
      <c r="M361" s="16" t="str">
        <f>HYPERLINK("http://slimages.macys.com/is/image/MCY/18255204 ")</f>
        <v xml:space="preserve">http://slimages.macys.com/is/image/MCY/18255204 </v>
      </c>
      <c r="N361" s="30"/>
    </row>
    <row r="362" spans="1:14" ht="60" x14ac:dyDescent="0.25">
      <c r="A362" s="19" t="s">
        <v>8242</v>
      </c>
      <c r="B362" s="17" t="s">
        <v>8241</v>
      </c>
      <c r="C362" s="20">
        <v>1</v>
      </c>
      <c r="D362" s="18">
        <v>54.5</v>
      </c>
      <c r="E362" s="20" t="s">
        <v>6403</v>
      </c>
      <c r="F362" s="17" t="s">
        <v>23</v>
      </c>
      <c r="G362" s="19" t="s">
        <v>271</v>
      </c>
      <c r="H362" s="18">
        <v>10.266666666666667</v>
      </c>
      <c r="I362" s="17" t="s">
        <v>1891</v>
      </c>
      <c r="J362" s="17" t="s">
        <v>67</v>
      </c>
      <c r="K362" s="17"/>
      <c r="L362" s="17"/>
      <c r="M362" s="16" t="str">
        <f>HYPERLINK("http://slimages.macys.com/is/image/MCY/18344888 ")</f>
        <v xml:space="preserve">http://slimages.macys.com/is/image/MCY/18344888 </v>
      </c>
      <c r="N362" s="30"/>
    </row>
    <row r="363" spans="1:14" ht="60" x14ac:dyDescent="0.25">
      <c r="A363" s="19" t="s">
        <v>9338</v>
      </c>
      <c r="B363" s="17" t="s">
        <v>9337</v>
      </c>
      <c r="C363" s="20">
        <v>1</v>
      </c>
      <c r="D363" s="18">
        <v>54.5</v>
      </c>
      <c r="E363" s="20" t="s">
        <v>6403</v>
      </c>
      <c r="F363" s="17" t="s">
        <v>23</v>
      </c>
      <c r="G363" s="19"/>
      <c r="H363" s="18">
        <v>10.266666666666667</v>
      </c>
      <c r="I363" s="17" t="s">
        <v>1891</v>
      </c>
      <c r="J363" s="17" t="s">
        <v>67</v>
      </c>
      <c r="K363" s="17"/>
      <c r="L363" s="17"/>
      <c r="M363" s="16" t="str">
        <f>HYPERLINK("http://slimages.macys.com/is/image/MCY/18344888 ")</f>
        <v xml:space="preserve">http://slimages.macys.com/is/image/MCY/18344888 </v>
      </c>
      <c r="N363" s="30"/>
    </row>
    <row r="364" spans="1:14" ht="60" x14ac:dyDescent="0.25">
      <c r="A364" s="19" t="s">
        <v>6407</v>
      </c>
      <c r="B364" s="17" t="s">
        <v>6406</v>
      </c>
      <c r="C364" s="20">
        <v>1</v>
      </c>
      <c r="D364" s="18">
        <v>54.5</v>
      </c>
      <c r="E364" s="20" t="s">
        <v>6403</v>
      </c>
      <c r="F364" s="17" t="s">
        <v>23</v>
      </c>
      <c r="G364" s="19" t="s">
        <v>139</v>
      </c>
      <c r="H364" s="18">
        <v>10.266666666666667</v>
      </c>
      <c r="I364" s="17" t="s">
        <v>1891</v>
      </c>
      <c r="J364" s="17" t="s">
        <v>67</v>
      </c>
      <c r="K364" s="17"/>
      <c r="L364" s="17"/>
      <c r="M364" s="16" t="str">
        <f>HYPERLINK("http://slimages.macys.com/is/image/MCY/18344888 ")</f>
        <v xml:space="preserve">http://slimages.macys.com/is/image/MCY/18344888 </v>
      </c>
      <c r="N364" s="30"/>
    </row>
    <row r="365" spans="1:14" ht="60" x14ac:dyDescent="0.25">
      <c r="A365" s="19" t="s">
        <v>8232</v>
      </c>
      <c r="B365" s="17" t="s">
        <v>8231</v>
      </c>
      <c r="C365" s="20">
        <v>1</v>
      </c>
      <c r="D365" s="18">
        <v>79</v>
      </c>
      <c r="E365" s="20">
        <v>2321206</v>
      </c>
      <c r="F365" s="17" t="s">
        <v>70</v>
      </c>
      <c r="G365" s="19" t="s">
        <v>101</v>
      </c>
      <c r="H365" s="18">
        <v>10.120000000000001</v>
      </c>
      <c r="I365" s="17" t="s">
        <v>80</v>
      </c>
      <c r="J365" s="17" t="s">
        <v>293</v>
      </c>
      <c r="K365" s="17"/>
      <c r="L365" s="17"/>
      <c r="M365" s="16" t="str">
        <f>HYPERLINK("http://slimages.macys.com/is/image/MCY/18748894 ")</f>
        <v xml:space="preserve">http://slimages.macys.com/is/image/MCY/18748894 </v>
      </c>
      <c r="N365" s="30"/>
    </row>
    <row r="366" spans="1:14" ht="60" x14ac:dyDescent="0.25">
      <c r="A366" s="19" t="s">
        <v>9336</v>
      </c>
      <c r="B366" s="17" t="s">
        <v>9335</v>
      </c>
      <c r="C366" s="20">
        <v>1</v>
      </c>
      <c r="D366" s="18">
        <v>69</v>
      </c>
      <c r="E366" s="20">
        <v>2321007</v>
      </c>
      <c r="F366" s="17" t="s">
        <v>70</v>
      </c>
      <c r="G366" s="19" t="s">
        <v>62</v>
      </c>
      <c r="H366" s="18">
        <v>10</v>
      </c>
      <c r="I366" s="17" t="s">
        <v>80</v>
      </c>
      <c r="J366" s="17" t="s">
        <v>293</v>
      </c>
      <c r="K366" s="17"/>
      <c r="L366" s="17"/>
      <c r="M366" s="16" t="str">
        <f>HYPERLINK("http://slimages.macys.com/is/image/MCY/19147763 ")</f>
        <v xml:space="preserve">http://slimages.macys.com/is/image/MCY/19147763 </v>
      </c>
      <c r="N366" s="30"/>
    </row>
    <row r="367" spans="1:14" ht="60" x14ac:dyDescent="0.25">
      <c r="A367" s="19" t="s">
        <v>9334</v>
      </c>
      <c r="B367" s="17" t="s">
        <v>9333</v>
      </c>
      <c r="C367" s="20">
        <v>1</v>
      </c>
      <c r="D367" s="18">
        <v>69</v>
      </c>
      <c r="E367" s="20">
        <v>2321007</v>
      </c>
      <c r="F367" s="17" t="s">
        <v>91</v>
      </c>
      <c r="G367" s="19" t="s">
        <v>101</v>
      </c>
      <c r="H367" s="18">
        <v>10</v>
      </c>
      <c r="I367" s="17" t="s">
        <v>80</v>
      </c>
      <c r="J367" s="17" t="s">
        <v>293</v>
      </c>
      <c r="K367" s="17"/>
      <c r="L367" s="17"/>
      <c r="M367" s="16" t="str">
        <f>HYPERLINK("http://slimages.macys.com/is/image/MCY/19147763 ")</f>
        <v xml:space="preserve">http://slimages.macys.com/is/image/MCY/19147763 </v>
      </c>
      <c r="N367" s="30"/>
    </row>
    <row r="368" spans="1:14" ht="60" x14ac:dyDescent="0.25">
      <c r="A368" s="19" t="s">
        <v>9332</v>
      </c>
      <c r="B368" s="17" t="s">
        <v>9331</v>
      </c>
      <c r="C368" s="20">
        <v>1</v>
      </c>
      <c r="D368" s="18">
        <v>59</v>
      </c>
      <c r="E368" s="20">
        <v>2331300</v>
      </c>
      <c r="F368" s="17" t="s">
        <v>23</v>
      </c>
      <c r="G368" s="19" t="s">
        <v>313</v>
      </c>
      <c r="H368" s="18">
        <v>10</v>
      </c>
      <c r="I368" s="17" t="s">
        <v>80</v>
      </c>
      <c r="J368" s="17" t="s">
        <v>293</v>
      </c>
      <c r="K368" s="17"/>
      <c r="L368" s="17"/>
      <c r="M368" s="16" t="str">
        <f>HYPERLINK("http://slimages.macys.com/is/image/MCY/19109825 ")</f>
        <v xml:space="preserve">http://slimages.macys.com/is/image/MCY/19109825 </v>
      </c>
      <c r="N368" s="30"/>
    </row>
    <row r="369" spans="1:14" ht="60" x14ac:dyDescent="0.25">
      <c r="A369" s="19" t="s">
        <v>2604</v>
      </c>
      <c r="B369" s="17" t="s">
        <v>2603</v>
      </c>
      <c r="C369" s="20">
        <v>1</v>
      </c>
      <c r="D369" s="18">
        <v>54.5</v>
      </c>
      <c r="E369" s="20" t="s">
        <v>1827</v>
      </c>
      <c r="F369" s="17" t="s">
        <v>140</v>
      </c>
      <c r="G369" s="19" t="s">
        <v>351</v>
      </c>
      <c r="H369" s="18">
        <v>9.9933333333333341</v>
      </c>
      <c r="I369" s="17" t="s">
        <v>267</v>
      </c>
      <c r="J369" s="17" t="s">
        <v>32</v>
      </c>
      <c r="K369" s="17"/>
      <c r="L369" s="17"/>
      <c r="M369" s="16" t="str">
        <f>HYPERLINK("http://slimages.macys.com/is/image/MCY/19124153 ")</f>
        <v xml:space="preserve">http://slimages.macys.com/is/image/MCY/19124153 </v>
      </c>
      <c r="N369" s="30"/>
    </row>
    <row r="370" spans="1:14" ht="60" x14ac:dyDescent="0.25">
      <c r="A370" s="19" t="s">
        <v>9330</v>
      </c>
      <c r="B370" s="17" t="s">
        <v>9329</v>
      </c>
      <c r="C370" s="20">
        <v>1</v>
      </c>
      <c r="D370" s="18">
        <v>54.5</v>
      </c>
      <c r="E370" s="20" t="s">
        <v>8214</v>
      </c>
      <c r="F370" s="17" t="s">
        <v>140</v>
      </c>
      <c r="G370" s="19" t="s">
        <v>271</v>
      </c>
      <c r="H370" s="18">
        <v>9.9933333333333341</v>
      </c>
      <c r="I370" s="17" t="s">
        <v>267</v>
      </c>
      <c r="J370" s="17" t="s">
        <v>32</v>
      </c>
      <c r="K370" s="17"/>
      <c r="L370" s="17"/>
      <c r="M370" s="16" t="str">
        <f>HYPERLINK("http://slimages.macys.com/is/image/MCY/19269075 ")</f>
        <v xml:space="preserve">http://slimages.macys.com/is/image/MCY/19269075 </v>
      </c>
      <c r="N370" s="30"/>
    </row>
    <row r="371" spans="1:14" ht="60" x14ac:dyDescent="0.25">
      <c r="A371" s="19" t="s">
        <v>4288</v>
      </c>
      <c r="B371" s="17" t="s">
        <v>4287</v>
      </c>
      <c r="C371" s="20">
        <v>3</v>
      </c>
      <c r="D371" s="18">
        <v>54.5</v>
      </c>
      <c r="E371" s="20" t="s">
        <v>1827</v>
      </c>
      <c r="F371" s="17" t="s">
        <v>558</v>
      </c>
      <c r="G371" s="19" t="s">
        <v>139</v>
      </c>
      <c r="H371" s="18">
        <v>9.9933333333333341</v>
      </c>
      <c r="I371" s="17" t="s">
        <v>267</v>
      </c>
      <c r="J371" s="17" t="s">
        <v>32</v>
      </c>
      <c r="K371" s="17"/>
      <c r="L371" s="17"/>
      <c r="M371" s="16" t="str">
        <f>HYPERLINK("http://slimages.macys.com/is/image/MCY/19124153 ")</f>
        <v xml:space="preserve">http://slimages.macys.com/is/image/MCY/19124153 </v>
      </c>
      <c r="N371" s="30"/>
    </row>
    <row r="372" spans="1:14" ht="60" x14ac:dyDescent="0.25">
      <c r="A372" s="19" t="s">
        <v>9328</v>
      </c>
      <c r="B372" s="17" t="s">
        <v>9327</v>
      </c>
      <c r="C372" s="20">
        <v>1</v>
      </c>
      <c r="D372" s="18">
        <v>54.5</v>
      </c>
      <c r="E372" s="20" t="s">
        <v>8214</v>
      </c>
      <c r="F372" s="17" t="s">
        <v>140</v>
      </c>
      <c r="G372" s="19" t="s">
        <v>139</v>
      </c>
      <c r="H372" s="18">
        <v>9.9933333333333341</v>
      </c>
      <c r="I372" s="17" t="s">
        <v>267</v>
      </c>
      <c r="J372" s="17" t="s">
        <v>32</v>
      </c>
      <c r="K372" s="17"/>
      <c r="L372" s="17"/>
      <c r="M372" s="16" t="str">
        <f>HYPERLINK("http://slimages.macys.com/is/image/MCY/19269075 ")</f>
        <v xml:space="preserve">http://slimages.macys.com/is/image/MCY/19269075 </v>
      </c>
      <c r="N372" s="30"/>
    </row>
    <row r="373" spans="1:14" ht="60" x14ac:dyDescent="0.25">
      <c r="A373" s="19" t="s">
        <v>9326</v>
      </c>
      <c r="B373" s="17" t="s">
        <v>9325</v>
      </c>
      <c r="C373" s="20">
        <v>1</v>
      </c>
      <c r="D373" s="18">
        <v>59</v>
      </c>
      <c r="E373" s="20">
        <v>7031640</v>
      </c>
      <c r="F373" s="17" t="s">
        <v>508</v>
      </c>
      <c r="G373" s="19" t="s">
        <v>22</v>
      </c>
      <c r="H373" s="18">
        <v>9.8333333333333339</v>
      </c>
      <c r="I373" s="17" t="s">
        <v>111</v>
      </c>
      <c r="J373" s="17" t="s">
        <v>110</v>
      </c>
      <c r="K373" s="17"/>
      <c r="L373" s="17"/>
      <c r="M373" s="16" t="str">
        <f>HYPERLINK("http://slimages.macys.com/is/image/MCY/19390856 ")</f>
        <v xml:space="preserve">http://slimages.macys.com/is/image/MCY/19390856 </v>
      </c>
      <c r="N373" s="30"/>
    </row>
    <row r="374" spans="1:14" ht="60" x14ac:dyDescent="0.25">
      <c r="A374" s="19" t="s">
        <v>9324</v>
      </c>
      <c r="B374" s="17" t="s">
        <v>9323</v>
      </c>
      <c r="C374" s="20">
        <v>1</v>
      </c>
      <c r="D374" s="18">
        <v>59</v>
      </c>
      <c r="E374" s="20" t="s">
        <v>9322</v>
      </c>
      <c r="F374" s="17" t="s">
        <v>508</v>
      </c>
      <c r="G374" s="19" t="s">
        <v>101</v>
      </c>
      <c r="H374" s="18">
        <v>9.8333333333333339</v>
      </c>
      <c r="I374" s="17" t="s">
        <v>129</v>
      </c>
      <c r="J374" s="17" t="s">
        <v>128</v>
      </c>
      <c r="K374" s="17" t="s">
        <v>637</v>
      </c>
      <c r="L374" s="17" t="s">
        <v>9321</v>
      </c>
      <c r="M374" s="16" t="str">
        <f>HYPERLINK("http://images.bloomingdales.com/is/image/BLM/11369068 ")</f>
        <v xml:space="preserve">http://images.bloomingdales.com/is/image/BLM/11369068 </v>
      </c>
      <c r="N374" s="30"/>
    </row>
    <row r="375" spans="1:14" ht="60" x14ac:dyDescent="0.25">
      <c r="A375" s="19" t="s">
        <v>9320</v>
      </c>
      <c r="B375" s="17" t="s">
        <v>9319</v>
      </c>
      <c r="C375" s="20">
        <v>1</v>
      </c>
      <c r="D375" s="18">
        <v>59</v>
      </c>
      <c r="E375" s="20">
        <v>8158020</v>
      </c>
      <c r="F375" s="17" t="s">
        <v>23</v>
      </c>
      <c r="G375" s="19" t="s">
        <v>101</v>
      </c>
      <c r="H375" s="18">
        <v>9.8333333333333339</v>
      </c>
      <c r="I375" s="17" t="s">
        <v>129</v>
      </c>
      <c r="J375" s="17" t="s">
        <v>128</v>
      </c>
      <c r="K375" s="17"/>
      <c r="L375" s="17"/>
      <c r="M375" s="16" t="str">
        <f>HYPERLINK("http://slimages.macys.com/is/image/MCY/18441004 ")</f>
        <v xml:space="preserve">http://slimages.macys.com/is/image/MCY/18441004 </v>
      </c>
      <c r="N375" s="30"/>
    </row>
    <row r="376" spans="1:14" ht="60" x14ac:dyDescent="0.25">
      <c r="A376" s="19" t="s">
        <v>9318</v>
      </c>
      <c r="B376" s="17" t="s">
        <v>9317</v>
      </c>
      <c r="C376" s="20">
        <v>1</v>
      </c>
      <c r="D376" s="18">
        <v>59</v>
      </c>
      <c r="E376" s="20">
        <v>8160609</v>
      </c>
      <c r="F376" s="17" t="s">
        <v>91</v>
      </c>
      <c r="G376" s="19" t="s">
        <v>101</v>
      </c>
      <c r="H376" s="18">
        <v>9.8333333333333339</v>
      </c>
      <c r="I376" s="17" t="s">
        <v>129</v>
      </c>
      <c r="J376" s="17" t="s">
        <v>128</v>
      </c>
      <c r="K376" s="17" t="s">
        <v>637</v>
      </c>
      <c r="L376" s="17" t="s">
        <v>9316</v>
      </c>
      <c r="M376" s="16" t="str">
        <f>HYPERLINK("http://images.bloomingdales.com/is/image/BLM/11190564 ")</f>
        <v xml:space="preserve">http://images.bloomingdales.com/is/image/BLM/11190564 </v>
      </c>
      <c r="N376" s="30"/>
    </row>
    <row r="377" spans="1:14" ht="60" x14ac:dyDescent="0.25">
      <c r="A377" s="19" t="s">
        <v>9315</v>
      </c>
      <c r="B377" s="17" t="s">
        <v>9314</v>
      </c>
      <c r="C377" s="20">
        <v>1</v>
      </c>
      <c r="D377" s="18">
        <v>59</v>
      </c>
      <c r="E377" s="20">
        <v>8160609</v>
      </c>
      <c r="F377" s="17" t="s">
        <v>91</v>
      </c>
      <c r="G377" s="19" t="s">
        <v>17</v>
      </c>
      <c r="H377" s="18">
        <v>9.8333333333333339</v>
      </c>
      <c r="I377" s="17" t="s">
        <v>129</v>
      </c>
      <c r="J377" s="17" t="s">
        <v>128</v>
      </c>
      <c r="K377" s="17"/>
      <c r="L377" s="17"/>
      <c r="M377" s="16" t="str">
        <f>HYPERLINK("http://slimages.macys.com/is/image/MCY/18210430 ")</f>
        <v xml:space="preserve">http://slimages.macys.com/is/image/MCY/18210430 </v>
      </c>
      <c r="N377" s="30"/>
    </row>
    <row r="378" spans="1:14" ht="60" x14ac:dyDescent="0.25">
      <c r="A378" s="19" t="s">
        <v>9313</v>
      </c>
      <c r="B378" s="17" t="s">
        <v>9312</v>
      </c>
      <c r="C378" s="20">
        <v>1</v>
      </c>
      <c r="D378" s="18">
        <v>59</v>
      </c>
      <c r="E378" s="20" t="s">
        <v>9311</v>
      </c>
      <c r="F378" s="17" t="s">
        <v>2284</v>
      </c>
      <c r="G378" s="19" t="s">
        <v>50</v>
      </c>
      <c r="H378" s="18">
        <v>9.8333333333333339</v>
      </c>
      <c r="I378" s="17" t="s">
        <v>129</v>
      </c>
      <c r="J378" s="17" t="s">
        <v>128</v>
      </c>
      <c r="K378" s="17"/>
      <c r="L378" s="17"/>
      <c r="M378" s="16" t="str">
        <f>HYPERLINK("http://slimages.macys.com/is/image/MCY/20043622 ")</f>
        <v xml:space="preserve">http://slimages.macys.com/is/image/MCY/20043622 </v>
      </c>
      <c r="N378" s="30"/>
    </row>
    <row r="379" spans="1:14" ht="60" x14ac:dyDescent="0.25">
      <c r="A379" s="19" t="s">
        <v>9310</v>
      </c>
      <c r="B379" s="17" t="s">
        <v>9309</v>
      </c>
      <c r="C379" s="20">
        <v>1</v>
      </c>
      <c r="D379" s="18">
        <v>49</v>
      </c>
      <c r="E379" s="20">
        <v>10804946</v>
      </c>
      <c r="F379" s="17" t="s">
        <v>23</v>
      </c>
      <c r="G379" s="19" t="s">
        <v>139</v>
      </c>
      <c r="H379" s="18">
        <v>9.8000000000000007</v>
      </c>
      <c r="I379" s="17" t="s">
        <v>358</v>
      </c>
      <c r="J379" s="17" t="s">
        <v>554</v>
      </c>
      <c r="K379" s="17"/>
      <c r="L379" s="17"/>
      <c r="M379" s="16" t="str">
        <f>HYPERLINK("http://slimages.macys.com/is/image/MCY/19205640 ")</f>
        <v xml:space="preserve">http://slimages.macys.com/is/image/MCY/19205640 </v>
      </c>
      <c r="N379" s="30"/>
    </row>
    <row r="380" spans="1:14" ht="60" x14ac:dyDescent="0.25">
      <c r="A380" s="19" t="s">
        <v>8202</v>
      </c>
      <c r="B380" s="17" t="s">
        <v>8201</v>
      </c>
      <c r="C380" s="20">
        <v>1</v>
      </c>
      <c r="D380" s="18">
        <v>49</v>
      </c>
      <c r="E380" s="20">
        <v>10804586</v>
      </c>
      <c r="F380" s="17" t="s">
        <v>282</v>
      </c>
      <c r="G380" s="19" t="s">
        <v>351</v>
      </c>
      <c r="H380" s="18">
        <v>9.8000000000000007</v>
      </c>
      <c r="I380" s="17" t="s">
        <v>358</v>
      </c>
      <c r="J380" s="17" t="s">
        <v>554</v>
      </c>
      <c r="K380" s="17"/>
      <c r="L380" s="17"/>
      <c r="M380" s="16" t="str">
        <f>HYPERLINK("http://slimages.macys.com/is/image/MCY/18874177 ")</f>
        <v xml:space="preserve">http://slimages.macys.com/is/image/MCY/18874177 </v>
      </c>
      <c r="N380" s="30"/>
    </row>
    <row r="381" spans="1:14" ht="60" x14ac:dyDescent="0.25">
      <c r="A381" s="19" t="s">
        <v>1062</v>
      </c>
      <c r="B381" s="17" t="s">
        <v>1061</v>
      </c>
      <c r="C381" s="20">
        <v>3</v>
      </c>
      <c r="D381" s="18">
        <v>49</v>
      </c>
      <c r="E381" s="20">
        <v>10804586</v>
      </c>
      <c r="F381" s="17" t="s">
        <v>282</v>
      </c>
      <c r="G381" s="19" t="s">
        <v>271</v>
      </c>
      <c r="H381" s="18">
        <v>9.8000000000000007</v>
      </c>
      <c r="I381" s="17" t="s">
        <v>358</v>
      </c>
      <c r="J381" s="17" t="s">
        <v>554</v>
      </c>
      <c r="K381" s="17"/>
      <c r="L381" s="17"/>
      <c r="M381" s="16" t="str">
        <f>HYPERLINK("http://slimages.macys.com/is/image/MCY/18874177 ")</f>
        <v xml:space="preserve">http://slimages.macys.com/is/image/MCY/18874177 </v>
      </c>
      <c r="N381" s="30"/>
    </row>
    <row r="382" spans="1:14" ht="60" x14ac:dyDescent="0.25">
      <c r="A382" s="19" t="s">
        <v>9308</v>
      </c>
      <c r="B382" s="17" t="s">
        <v>9307</v>
      </c>
      <c r="C382" s="20">
        <v>1</v>
      </c>
      <c r="D382" s="18">
        <v>49</v>
      </c>
      <c r="E382" s="20" t="s">
        <v>9306</v>
      </c>
      <c r="F382" s="17" t="s">
        <v>23</v>
      </c>
      <c r="G382" s="19" t="s">
        <v>74</v>
      </c>
      <c r="H382" s="18">
        <v>9.8000000000000007</v>
      </c>
      <c r="I382" s="17" t="s">
        <v>678</v>
      </c>
      <c r="J382" s="17" t="s">
        <v>404</v>
      </c>
      <c r="K382" s="17"/>
      <c r="L382" s="17"/>
      <c r="M382" s="16" t="str">
        <f>HYPERLINK("http://slimages.macys.com/is/image/MCY/18454955 ")</f>
        <v xml:space="preserve">http://slimages.macys.com/is/image/MCY/18454955 </v>
      </c>
      <c r="N382" s="30"/>
    </row>
    <row r="383" spans="1:14" ht="60" x14ac:dyDescent="0.25">
      <c r="A383" s="19" t="s">
        <v>9305</v>
      </c>
      <c r="B383" s="17" t="s">
        <v>9304</v>
      </c>
      <c r="C383" s="20">
        <v>1</v>
      </c>
      <c r="D383" s="18">
        <v>44</v>
      </c>
      <c r="E383" s="20" t="s">
        <v>5632</v>
      </c>
      <c r="F383" s="17" t="s">
        <v>433</v>
      </c>
      <c r="G383" s="19" t="s">
        <v>101</v>
      </c>
      <c r="H383" s="18">
        <v>9.706666666666667</v>
      </c>
      <c r="I383" s="17" t="s">
        <v>49</v>
      </c>
      <c r="J383" s="17" t="s">
        <v>48</v>
      </c>
      <c r="K383" s="17"/>
      <c r="L383" s="17"/>
      <c r="M383" s="16" t="str">
        <f>HYPERLINK("http://slimages.macys.com/is/image/MCY/19163512 ")</f>
        <v xml:space="preserve">http://slimages.macys.com/is/image/MCY/19163512 </v>
      </c>
      <c r="N383" s="30"/>
    </row>
    <row r="384" spans="1:14" ht="60" x14ac:dyDescent="0.25">
      <c r="A384" s="19" t="s">
        <v>9303</v>
      </c>
      <c r="B384" s="17" t="s">
        <v>9302</v>
      </c>
      <c r="C384" s="20">
        <v>1</v>
      </c>
      <c r="D384" s="18">
        <v>40</v>
      </c>
      <c r="E384" s="20" t="s">
        <v>5624</v>
      </c>
      <c r="F384" s="17"/>
      <c r="G384" s="19" t="s">
        <v>4954</v>
      </c>
      <c r="H384" s="18">
        <v>9.6666666666666661</v>
      </c>
      <c r="I384" s="17" t="s">
        <v>80</v>
      </c>
      <c r="J384" s="17" t="s">
        <v>187</v>
      </c>
      <c r="K384" s="17"/>
      <c r="L384" s="17"/>
      <c r="M384" s="16" t="str">
        <f>HYPERLINK("http://slimages.macys.com/is/image/MCY/16577605 ")</f>
        <v xml:space="preserve">http://slimages.macys.com/is/image/MCY/16577605 </v>
      </c>
      <c r="N384" s="30"/>
    </row>
    <row r="385" spans="1:14" ht="60" x14ac:dyDescent="0.25">
      <c r="A385" s="19" t="s">
        <v>9301</v>
      </c>
      <c r="B385" s="17" t="s">
        <v>9300</v>
      </c>
      <c r="C385" s="20">
        <v>1</v>
      </c>
      <c r="D385" s="18">
        <v>59.5</v>
      </c>
      <c r="E385" s="20" t="s">
        <v>9299</v>
      </c>
      <c r="F385" s="17" t="s">
        <v>51</v>
      </c>
      <c r="G385" s="19" t="s">
        <v>351</v>
      </c>
      <c r="H385" s="18">
        <v>9.6666666666666661</v>
      </c>
      <c r="I385" s="17" t="s">
        <v>1891</v>
      </c>
      <c r="J385" s="17" t="s">
        <v>67</v>
      </c>
      <c r="K385" s="17"/>
      <c r="L385" s="17"/>
      <c r="M385" s="16" t="str">
        <f>HYPERLINK("http://slimages.macys.com/is/image/MCY/18981204 ")</f>
        <v xml:space="preserve">http://slimages.macys.com/is/image/MCY/18981204 </v>
      </c>
      <c r="N385" s="30"/>
    </row>
    <row r="386" spans="1:14" ht="60" x14ac:dyDescent="0.25">
      <c r="A386" s="19" t="s">
        <v>9298</v>
      </c>
      <c r="B386" s="17" t="s">
        <v>9297</v>
      </c>
      <c r="C386" s="20">
        <v>1</v>
      </c>
      <c r="D386" s="18">
        <v>55.5</v>
      </c>
      <c r="E386" s="20" t="s">
        <v>4280</v>
      </c>
      <c r="F386" s="17" t="s">
        <v>206</v>
      </c>
      <c r="G386" s="19" t="s">
        <v>271</v>
      </c>
      <c r="H386" s="18">
        <v>9.620000000000001</v>
      </c>
      <c r="I386" s="17" t="s">
        <v>1891</v>
      </c>
      <c r="J386" s="17" t="s">
        <v>2435</v>
      </c>
      <c r="K386" s="17"/>
      <c r="L386" s="17"/>
      <c r="M386" s="16" t="str">
        <f>HYPERLINK("http://slimages.macys.com/is/image/MCY/19439150 ")</f>
        <v xml:space="preserve">http://slimages.macys.com/is/image/MCY/19439150 </v>
      </c>
      <c r="N386" s="30"/>
    </row>
    <row r="387" spans="1:14" ht="60" x14ac:dyDescent="0.25">
      <c r="A387" s="19" t="s">
        <v>9296</v>
      </c>
      <c r="B387" s="17" t="s">
        <v>9295</v>
      </c>
      <c r="C387" s="20">
        <v>2</v>
      </c>
      <c r="D387" s="18">
        <v>49</v>
      </c>
      <c r="E387" s="20" t="s">
        <v>9294</v>
      </c>
      <c r="F387" s="17" t="s">
        <v>28</v>
      </c>
      <c r="G387" s="19" t="s">
        <v>197</v>
      </c>
      <c r="H387" s="18">
        <v>9.6066666666666674</v>
      </c>
      <c r="I387" s="17" t="s">
        <v>492</v>
      </c>
      <c r="J387" s="17" t="s">
        <v>491</v>
      </c>
      <c r="K387" s="17"/>
      <c r="L387" s="17"/>
      <c r="M387" s="16" t="str">
        <f>HYPERLINK("http://slimages.macys.com/is/image/MCY/19156569 ")</f>
        <v xml:space="preserve">http://slimages.macys.com/is/image/MCY/19156569 </v>
      </c>
      <c r="N387" s="30"/>
    </row>
    <row r="388" spans="1:14" ht="60" x14ac:dyDescent="0.25">
      <c r="A388" s="19" t="s">
        <v>9293</v>
      </c>
      <c r="B388" s="17" t="s">
        <v>9292</v>
      </c>
      <c r="C388" s="20">
        <v>1</v>
      </c>
      <c r="D388" s="18">
        <v>59</v>
      </c>
      <c r="E388" s="20">
        <v>2331041</v>
      </c>
      <c r="F388" s="17" t="s">
        <v>63</v>
      </c>
      <c r="G388" s="19" t="s">
        <v>101</v>
      </c>
      <c r="H388" s="18">
        <v>9.3333333333333339</v>
      </c>
      <c r="I388" s="17" t="s">
        <v>80</v>
      </c>
      <c r="J388" s="17" t="s">
        <v>293</v>
      </c>
      <c r="K388" s="17"/>
      <c r="L388" s="17"/>
      <c r="M388" s="16" t="str">
        <f>HYPERLINK("http://slimages.macys.com/is/image/MCY/19492627 ")</f>
        <v xml:space="preserve">http://slimages.macys.com/is/image/MCY/19492627 </v>
      </c>
      <c r="N388" s="30"/>
    </row>
    <row r="389" spans="1:14" ht="60" x14ac:dyDescent="0.25">
      <c r="A389" s="19" t="s">
        <v>4277</v>
      </c>
      <c r="B389" s="17" t="s">
        <v>4276</v>
      </c>
      <c r="C389" s="20">
        <v>1</v>
      </c>
      <c r="D389" s="18">
        <v>59</v>
      </c>
      <c r="E389" s="20">
        <v>2331624</v>
      </c>
      <c r="F389" s="17" t="s">
        <v>63</v>
      </c>
      <c r="G389" s="19" t="s">
        <v>50</v>
      </c>
      <c r="H389" s="18">
        <v>9.3333333333333339</v>
      </c>
      <c r="I389" s="17" t="s">
        <v>80</v>
      </c>
      <c r="J389" s="17" t="s">
        <v>293</v>
      </c>
      <c r="K389" s="17"/>
      <c r="L389" s="17"/>
      <c r="M389" s="16" t="str">
        <f>HYPERLINK("http://slimages.macys.com/is/image/MCY/19226160 ")</f>
        <v xml:space="preserve">http://slimages.macys.com/is/image/MCY/19226160 </v>
      </c>
      <c r="N389" s="30"/>
    </row>
    <row r="390" spans="1:14" ht="60" x14ac:dyDescent="0.25">
      <c r="A390" s="19" t="s">
        <v>8188</v>
      </c>
      <c r="B390" s="17" t="s">
        <v>8187</v>
      </c>
      <c r="C390" s="20">
        <v>1</v>
      </c>
      <c r="D390" s="18">
        <v>59</v>
      </c>
      <c r="E390" s="20">
        <v>2331830</v>
      </c>
      <c r="F390" s="17" t="s">
        <v>63</v>
      </c>
      <c r="G390" s="19" t="s">
        <v>62</v>
      </c>
      <c r="H390" s="18">
        <v>9.3333333333333339</v>
      </c>
      <c r="I390" s="17" t="s">
        <v>80</v>
      </c>
      <c r="J390" s="17" t="s">
        <v>293</v>
      </c>
      <c r="K390" s="17"/>
      <c r="L390" s="17"/>
      <c r="M390" s="16" t="str">
        <f>HYPERLINK("http://slimages.macys.com/is/image/MCY/19226187 ")</f>
        <v xml:space="preserve">http://slimages.macys.com/is/image/MCY/19226187 </v>
      </c>
      <c r="N390" s="30"/>
    </row>
    <row r="391" spans="1:14" ht="60" x14ac:dyDescent="0.25">
      <c r="A391" s="19" t="s">
        <v>7197</v>
      </c>
      <c r="B391" s="17" t="s">
        <v>7196</v>
      </c>
      <c r="C391" s="20">
        <v>1</v>
      </c>
      <c r="D391" s="18">
        <v>59</v>
      </c>
      <c r="E391" s="20">
        <v>2331830</v>
      </c>
      <c r="F391" s="17" t="s">
        <v>63</v>
      </c>
      <c r="G391" s="19" t="s">
        <v>50</v>
      </c>
      <c r="H391" s="18">
        <v>9.3333333333333339</v>
      </c>
      <c r="I391" s="17" t="s">
        <v>80</v>
      </c>
      <c r="J391" s="17" t="s">
        <v>293</v>
      </c>
      <c r="K391" s="17"/>
      <c r="L391" s="17"/>
      <c r="M391" s="16" t="str">
        <f>HYPERLINK("http://slimages.macys.com/is/image/MCY/19226187 ")</f>
        <v xml:space="preserve">http://slimages.macys.com/is/image/MCY/19226187 </v>
      </c>
      <c r="N391" s="30"/>
    </row>
    <row r="392" spans="1:14" ht="60" x14ac:dyDescent="0.25">
      <c r="A392" s="19" t="s">
        <v>8175</v>
      </c>
      <c r="B392" s="17" t="s">
        <v>8174</v>
      </c>
      <c r="C392" s="20">
        <v>1</v>
      </c>
      <c r="D392" s="18">
        <v>49.5</v>
      </c>
      <c r="E392" s="20" t="s">
        <v>3101</v>
      </c>
      <c r="F392" s="17" t="s">
        <v>206</v>
      </c>
      <c r="G392" s="19" t="s">
        <v>74</v>
      </c>
      <c r="H392" s="18">
        <v>9.32</v>
      </c>
      <c r="I392" s="17" t="s">
        <v>68</v>
      </c>
      <c r="J392" s="17" t="s">
        <v>67</v>
      </c>
      <c r="K392" s="17"/>
      <c r="L392" s="17"/>
      <c r="M392" s="16" t="str">
        <f>HYPERLINK("http://slimages.macys.com/is/image/MCY/19180410 ")</f>
        <v xml:space="preserve">http://slimages.macys.com/is/image/MCY/19180410 </v>
      </c>
      <c r="N392" s="30"/>
    </row>
    <row r="393" spans="1:14" ht="60" x14ac:dyDescent="0.25">
      <c r="A393" s="19" t="s">
        <v>9291</v>
      </c>
      <c r="B393" s="17" t="s">
        <v>9290</v>
      </c>
      <c r="C393" s="20">
        <v>1</v>
      </c>
      <c r="D393" s="18">
        <v>49.5</v>
      </c>
      <c r="E393" s="20" t="s">
        <v>6307</v>
      </c>
      <c r="F393" s="17" t="s">
        <v>206</v>
      </c>
      <c r="G393" s="19" t="s">
        <v>271</v>
      </c>
      <c r="H393" s="18">
        <v>9.32</v>
      </c>
      <c r="I393" s="17" t="s">
        <v>1891</v>
      </c>
      <c r="J393" s="17" t="s">
        <v>2435</v>
      </c>
      <c r="K393" s="17"/>
      <c r="L393" s="17"/>
      <c r="M393" s="16" t="str">
        <f>HYPERLINK("http://slimages.macys.com/is/image/MCY/16661287 ")</f>
        <v xml:space="preserve">http://slimages.macys.com/is/image/MCY/16661287 </v>
      </c>
      <c r="N393" s="30"/>
    </row>
    <row r="394" spans="1:14" ht="60" x14ac:dyDescent="0.25">
      <c r="A394" s="19" t="s">
        <v>6381</v>
      </c>
      <c r="B394" s="17" t="s">
        <v>6380</v>
      </c>
      <c r="C394" s="20">
        <v>1</v>
      </c>
      <c r="D394" s="18">
        <v>59.5</v>
      </c>
      <c r="E394" s="20" t="s">
        <v>6379</v>
      </c>
      <c r="F394" s="17" t="s">
        <v>28</v>
      </c>
      <c r="G394" s="19" t="s">
        <v>74</v>
      </c>
      <c r="H394" s="18">
        <v>9.32</v>
      </c>
      <c r="I394" s="17" t="s">
        <v>56</v>
      </c>
      <c r="J394" s="17" t="s">
        <v>55</v>
      </c>
      <c r="K394" s="17"/>
      <c r="L394" s="17"/>
      <c r="M394" s="16" t="str">
        <f>HYPERLINK("http://slimages.macys.com/is/image/MCY/19754947 ")</f>
        <v xml:space="preserve">http://slimages.macys.com/is/image/MCY/19754947 </v>
      </c>
      <c r="N394" s="30"/>
    </row>
    <row r="395" spans="1:14" ht="60" x14ac:dyDescent="0.25">
      <c r="A395" s="19" t="s">
        <v>9289</v>
      </c>
      <c r="B395" s="17" t="s">
        <v>9288</v>
      </c>
      <c r="C395" s="20">
        <v>1</v>
      </c>
      <c r="D395" s="18">
        <v>49.5</v>
      </c>
      <c r="E395" s="20" t="s">
        <v>5605</v>
      </c>
      <c r="F395" s="17" t="s">
        <v>1022</v>
      </c>
      <c r="G395" s="19" t="s">
        <v>69</v>
      </c>
      <c r="H395" s="18">
        <v>9.32</v>
      </c>
      <c r="I395" s="17" t="s">
        <v>56</v>
      </c>
      <c r="J395" s="17" t="s">
        <v>55</v>
      </c>
      <c r="K395" s="17"/>
      <c r="L395" s="17"/>
      <c r="M395" s="16" t="str">
        <f>HYPERLINK("http://slimages.macys.com/is/image/MCY/18941649 ")</f>
        <v xml:space="preserve">http://slimages.macys.com/is/image/MCY/18941649 </v>
      </c>
      <c r="N395" s="30"/>
    </row>
    <row r="396" spans="1:14" ht="60" x14ac:dyDescent="0.25">
      <c r="A396" s="19" t="s">
        <v>9287</v>
      </c>
      <c r="B396" s="17" t="s">
        <v>9286</v>
      </c>
      <c r="C396" s="20">
        <v>1</v>
      </c>
      <c r="D396" s="18">
        <v>49.5</v>
      </c>
      <c r="E396" s="20">
        <v>30127848</v>
      </c>
      <c r="F396" s="17" t="s">
        <v>535</v>
      </c>
      <c r="G396" s="19" t="s">
        <v>57</v>
      </c>
      <c r="H396" s="18">
        <v>9.24</v>
      </c>
      <c r="I396" s="17" t="s">
        <v>80</v>
      </c>
      <c r="J396" s="17" t="s">
        <v>513</v>
      </c>
      <c r="K396" s="17"/>
      <c r="L396" s="17"/>
      <c r="M396" s="16" t="str">
        <f>HYPERLINK("http://slimages.macys.com/is/image/MCY/18423355 ")</f>
        <v xml:space="preserve">http://slimages.macys.com/is/image/MCY/18423355 </v>
      </c>
      <c r="N396" s="30"/>
    </row>
    <row r="397" spans="1:14" ht="60" x14ac:dyDescent="0.25">
      <c r="A397" s="19" t="s">
        <v>9285</v>
      </c>
      <c r="B397" s="17" t="s">
        <v>9284</v>
      </c>
      <c r="C397" s="20">
        <v>1</v>
      </c>
      <c r="D397" s="18">
        <v>69</v>
      </c>
      <c r="E397" s="20">
        <v>7039013</v>
      </c>
      <c r="F397" s="17" t="s">
        <v>91</v>
      </c>
      <c r="G397" s="19" t="s">
        <v>101</v>
      </c>
      <c r="H397" s="18">
        <v>9.1999999999999993</v>
      </c>
      <c r="I397" s="17" t="s">
        <v>111</v>
      </c>
      <c r="J397" s="17" t="s">
        <v>110</v>
      </c>
      <c r="K397" s="17" t="s">
        <v>389</v>
      </c>
      <c r="L397" s="17" t="s">
        <v>388</v>
      </c>
      <c r="M397" s="16" t="str">
        <f>HYPERLINK("http://slimages.macys.com/is/image/MCY/12734453 ")</f>
        <v xml:space="preserve">http://slimages.macys.com/is/image/MCY/12734453 </v>
      </c>
      <c r="N397" s="30"/>
    </row>
    <row r="398" spans="1:14" ht="60" x14ac:dyDescent="0.25">
      <c r="A398" s="19" t="s">
        <v>8160</v>
      </c>
      <c r="B398" s="17" t="s">
        <v>8159</v>
      </c>
      <c r="C398" s="20">
        <v>2</v>
      </c>
      <c r="D398" s="18">
        <v>49.5</v>
      </c>
      <c r="E398" s="20" t="s">
        <v>8158</v>
      </c>
      <c r="F398" s="17" t="s">
        <v>44</v>
      </c>
      <c r="G398" s="19" t="s">
        <v>351</v>
      </c>
      <c r="H398" s="18">
        <v>9.0733333333333341</v>
      </c>
      <c r="I398" s="17" t="s">
        <v>267</v>
      </c>
      <c r="J398" s="17" t="s">
        <v>32</v>
      </c>
      <c r="K398" s="17"/>
      <c r="L398" s="17"/>
      <c r="M398" s="16" t="str">
        <f>HYPERLINK("http://slimages.macys.com/is/image/MCY/19319618 ")</f>
        <v xml:space="preserve">http://slimages.macys.com/is/image/MCY/19319618 </v>
      </c>
      <c r="N398" s="30"/>
    </row>
    <row r="399" spans="1:14" ht="60" x14ac:dyDescent="0.25">
      <c r="A399" s="19" t="s">
        <v>9283</v>
      </c>
      <c r="B399" s="17" t="s">
        <v>9282</v>
      </c>
      <c r="C399" s="20">
        <v>4</v>
      </c>
      <c r="D399" s="18">
        <v>49.5</v>
      </c>
      <c r="E399" s="20" t="s">
        <v>8158</v>
      </c>
      <c r="F399" s="17" t="s">
        <v>44</v>
      </c>
      <c r="G399" s="19" t="s">
        <v>139</v>
      </c>
      <c r="H399" s="18">
        <v>9.0733333333333341</v>
      </c>
      <c r="I399" s="17" t="s">
        <v>267</v>
      </c>
      <c r="J399" s="17" t="s">
        <v>32</v>
      </c>
      <c r="K399" s="17"/>
      <c r="L399" s="17"/>
      <c r="M399" s="16" t="str">
        <f>HYPERLINK("http://slimages.macys.com/is/image/MCY/19319618 ")</f>
        <v xml:space="preserve">http://slimages.macys.com/is/image/MCY/19319618 </v>
      </c>
      <c r="N399" s="30"/>
    </row>
    <row r="400" spans="1:14" ht="60" x14ac:dyDescent="0.25">
      <c r="A400" s="19" t="s">
        <v>9281</v>
      </c>
      <c r="B400" s="17" t="s">
        <v>9280</v>
      </c>
      <c r="C400" s="20">
        <v>2</v>
      </c>
      <c r="D400" s="18">
        <v>49.5</v>
      </c>
      <c r="E400" s="20" t="s">
        <v>7159</v>
      </c>
      <c r="F400" s="17" t="s">
        <v>514</v>
      </c>
      <c r="G400" s="19" t="s">
        <v>351</v>
      </c>
      <c r="H400" s="18">
        <v>9.0733333333333341</v>
      </c>
      <c r="I400" s="17" t="s">
        <v>267</v>
      </c>
      <c r="J400" s="17" t="s">
        <v>32</v>
      </c>
      <c r="K400" s="17"/>
      <c r="L400" s="17"/>
      <c r="M400" s="16" t="str">
        <f>HYPERLINK("http://slimages.macys.com/is/image/MCY/19269068 ")</f>
        <v xml:space="preserve">http://slimages.macys.com/is/image/MCY/19269068 </v>
      </c>
      <c r="N400" s="30"/>
    </row>
    <row r="401" spans="1:14" ht="60" x14ac:dyDescent="0.25">
      <c r="A401" s="19" t="s">
        <v>9279</v>
      </c>
      <c r="B401" s="17" t="s">
        <v>9278</v>
      </c>
      <c r="C401" s="20">
        <v>1</v>
      </c>
      <c r="D401" s="18">
        <v>49.5</v>
      </c>
      <c r="E401" s="20" t="s">
        <v>3369</v>
      </c>
      <c r="F401" s="17" t="s">
        <v>58</v>
      </c>
      <c r="G401" s="19" t="s">
        <v>351</v>
      </c>
      <c r="H401" s="18">
        <v>9.0733333333333341</v>
      </c>
      <c r="I401" s="17" t="s">
        <v>267</v>
      </c>
      <c r="J401" s="17" t="s">
        <v>32</v>
      </c>
      <c r="K401" s="17"/>
      <c r="L401" s="17"/>
      <c r="M401" s="16" t="str">
        <f>HYPERLINK("http://slimages.macys.com/is/image/MCY/18747618 ")</f>
        <v xml:space="preserve">http://slimages.macys.com/is/image/MCY/18747618 </v>
      </c>
      <c r="N401" s="30"/>
    </row>
    <row r="402" spans="1:14" ht="60" x14ac:dyDescent="0.25">
      <c r="A402" s="19" t="s">
        <v>7165</v>
      </c>
      <c r="B402" s="17" t="s">
        <v>7164</v>
      </c>
      <c r="C402" s="20">
        <v>2</v>
      </c>
      <c r="D402" s="18">
        <v>49.5</v>
      </c>
      <c r="E402" s="20" t="s">
        <v>3369</v>
      </c>
      <c r="F402" s="17" t="s">
        <v>272</v>
      </c>
      <c r="G402" s="19" t="s">
        <v>271</v>
      </c>
      <c r="H402" s="18">
        <v>9.0733333333333341</v>
      </c>
      <c r="I402" s="17" t="s">
        <v>267</v>
      </c>
      <c r="J402" s="17" t="s">
        <v>32</v>
      </c>
      <c r="K402" s="17"/>
      <c r="L402" s="17"/>
      <c r="M402" s="16" t="str">
        <f>HYPERLINK("http://slimages.macys.com/is/image/MCY/18747620 ")</f>
        <v xml:space="preserve">http://slimages.macys.com/is/image/MCY/18747620 </v>
      </c>
      <c r="N402" s="30"/>
    </row>
    <row r="403" spans="1:14" ht="60" x14ac:dyDescent="0.25">
      <c r="A403" s="19" t="s">
        <v>8157</v>
      </c>
      <c r="B403" s="17" t="s">
        <v>8156</v>
      </c>
      <c r="C403" s="20">
        <v>1</v>
      </c>
      <c r="D403" s="18">
        <v>49.5</v>
      </c>
      <c r="E403" s="20" t="s">
        <v>7159</v>
      </c>
      <c r="F403" s="17" t="s">
        <v>514</v>
      </c>
      <c r="G403" s="19" t="s">
        <v>271</v>
      </c>
      <c r="H403" s="18">
        <v>9.0733333333333341</v>
      </c>
      <c r="I403" s="17" t="s">
        <v>267</v>
      </c>
      <c r="J403" s="17" t="s">
        <v>32</v>
      </c>
      <c r="K403" s="17"/>
      <c r="L403" s="17"/>
      <c r="M403" s="16" t="str">
        <f>HYPERLINK("http://slimages.macys.com/is/image/MCY/19269068 ")</f>
        <v xml:space="preserve">http://slimages.macys.com/is/image/MCY/19269068 </v>
      </c>
      <c r="N403" s="30"/>
    </row>
    <row r="404" spans="1:14" ht="60" x14ac:dyDescent="0.25">
      <c r="A404" s="19" t="s">
        <v>9277</v>
      </c>
      <c r="B404" s="17" t="s">
        <v>9276</v>
      </c>
      <c r="C404" s="20">
        <v>2</v>
      </c>
      <c r="D404" s="18">
        <v>49.5</v>
      </c>
      <c r="E404" s="20" t="s">
        <v>8158</v>
      </c>
      <c r="F404" s="17" t="s">
        <v>44</v>
      </c>
      <c r="G404" s="19" t="s">
        <v>271</v>
      </c>
      <c r="H404" s="18">
        <v>9.0733333333333341</v>
      </c>
      <c r="I404" s="17" t="s">
        <v>267</v>
      </c>
      <c r="J404" s="17" t="s">
        <v>32</v>
      </c>
      <c r="K404" s="17"/>
      <c r="L404" s="17"/>
      <c r="M404" s="16" t="str">
        <f>HYPERLINK("http://slimages.macys.com/is/image/MCY/19319618 ")</f>
        <v xml:space="preserve">http://slimages.macys.com/is/image/MCY/19319618 </v>
      </c>
      <c r="N404" s="30"/>
    </row>
    <row r="405" spans="1:14" ht="60" x14ac:dyDescent="0.25">
      <c r="A405" s="19" t="s">
        <v>9275</v>
      </c>
      <c r="B405" s="17" t="s">
        <v>9274</v>
      </c>
      <c r="C405" s="20">
        <v>1</v>
      </c>
      <c r="D405" s="18">
        <v>49</v>
      </c>
      <c r="E405" s="20" t="s">
        <v>9271</v>
      </c>
      <c r="F405" s="17" t="s">
        <v>23</v>
      </c>
      <c r="G405" s="19" t="s">
        <v>74</v>
      </c>
      <c r="H405" s="18">
        <v>9.0466666666666669</v>
      </c>
      <c r="I405" s="17" t="s">
        <v>405</v>
      </c>
      <c r="J405" s="17" t="s">
        <v>404</v>
      </c>
      <c r="K405" s="17" t="s">
        <v>389</v>
      </c>
      <c r="L405" s="17" t="s">
        <v>388</v>
      </c>
      <c r="M405" s="16" t="str">
        <f>HYPERLINK("http://slimages.macys.com/is/image/MCY/16013569 ")</f>
        <v xml:space="preserve">http://slimages.macys.com/is/image/MCY/16013569 </v>
      </c>
      <c r="N405" s="30"/>
    </row>
    <row r="406" spans="1:14" ht="60" x14ac:dyDescent="0.25">
      <c r="A406" s="19" t="s">
        <v>9273</v>
      </c>
      <c r="B406" s="17" t="s">
        <v>9272</v>
      </c>
      <c r="C406" s="20">
        <v>1</v>
      </c>
      <c r="D406" s="18">
        <v>49</v>
      </c>
      <c r="E406" s="20" t="s">
        <v>9271</v>
      </c>
      <c r="F406" s="17" t="s">
        <v>23</v>
      </c>
      <c r="G406" s="19" t="s">
        <v>62</v>
      </c>
      <c r="H406" s="18">
        <v>9.0466666666666669</v>
      </c>
      <c r="I406" s="17" t="s">
        <v>405</v>
      </c>
      <c r="J406" s="17" t="s">
        <v>404</v>
      </c>
      <c r="K406" s="17" t="s">
        <v>389</v>
      </c>
      <c r="L406" s="17" t="s">
        <v>388</v>
      </c>
      <c r="M406" s="16" t="str">
        <f>HYPERLINK("http://slimages.macys.com/is/image/MCY/16013569 ")</f>
        <v xml:space="preserve">http://slimages.macys.com/is/image/MCY/16013569 </v>
      </c>
      <c r="N406" s="30"/>
    </row>
    <row r="407" spans="1:14" ht="60" x14ac:dyDescent="0.25">
      <c r="A407" s="19" t="s">
        <v>9270</v>
      </c>
      <c r="B407" s="17" t="s">
        <v>9269</v>
      </c>
      <c r="C407" s="20">
        <v>1</v>
      </c>
      <c r="D407" s="18">
        <v>34.299999999999997</v>
      </c>
      <c r="E407" s="20" t="s">
        <v>7146</v>
      </c>
      <c r="F407" s="17" t="s">
        <v>51</v>
      </c>
      <c r="G407" s="19" t="s">
        <v>62</v>
      </c>
      <c r="H407" s="18">
        <v>8.9466666666666672</v>
      </c>
      <c r="I407" s="17" t="s">
        <v>42</v>
      </c>
      <c r="J407" s="17" t="s">
        <v>41</v>
      </c>
      <c r="K407" s="17"/>
      <c r="L407" s="17"/>
      <c r="M407" s="16" t="str">
        <f>HYPERLINK("http://slimages.macys.com/is/image/MCY/18904033 ")</f>
        <v xml:space="preserve">http://slimages.macys.com/is/image/MCY/18904033 </v>
      </c>
      <c r="N407" s="30"/>
    </row>
    <row r="408" spans="1:14" ht="60" x14ac:dyDescent="0.25">
      <c r="A408" s="19" t="s">
        <v>9268</v>
      </c>
      <c r="B408" s="17" t="s">
        <v>9267</v>
      </c>
      <c r="C408" s="20">
        <v>1</v>
      </c>
      <c r="D408" s="18">
        <v>34.299999999999997</v>
      </c>
      <c r="E408" s="20" t="s">
        <v>7146</v>
      </c>
      <c r="F408" s="17" t="s">
        <v>51</v>
      </c>
      <c r="G408" s="19" t="s">
        <v>74</v>
      </c>
      <c r="H408" s="18">
        <v>8.9466666666666672</v>
      </c>
      <c r="I408" s="17" t="s">
        <v>42</v>
      </c>
      <c r="J408" s="17" t="s">
        <v>41</v>
      </c>
      <c r="K408" s="17"/>
      <c r="L408" s="17"/>
      <c r="M408" s="16" t="str">
        <f>HYPERLINK("http://slimages.macys.com/is/image/MCY/18904033 ")</f>
        <v xml:space="preserve">http://slimages.macys.com/is/image/MCY/18904033 </v>
      </c>
      <c r="N408" s="30"/>
    </row>
    <row r="409" spans="1:14" ht="60" x14ac:dyDescent="0.25">
      <c r="A409" s="19" t="s">
        <v>9266</v>
      </c>
      <c r="B409" s="17" t="s">
        <v>9265</v>
      </c>
      <c r="C409" s="20">
        <v>1</v>
      </c>
      <c r="D409" s="18">
        <v>34.299999999999997</v>
      </c>
      <c r="E409" s="20" t="s">
        <v>1617</v>
      </c>
      <c r="F409" s="17" t="s">
        <v>23</v>
      </c>
      <c r="G409" s="19" t="s">
        <v>43</v>
      </c>
      <c r="H409" s="18">
        <v>8.9466666666666672</v>
      </c>
      <c r="I409" s="17" t="s">
        <v>42</v>
      </c>
      <c r="J409" s="17" t="s">
        <v>41</v>
      </c>
      <c r="K409" s="17"/>
      <c r="L409" s="17"/>
      <c r="M409" s="16" t="str">
        <f>HYPERLINK("http://slimages.macys.com/is/image/MCY/18757258 ")</f>
        <v xml:space="preserve">http://slimages.macys.com/is/image/MCY/18757258 </v>
      </c>
      <c r="N409" s="30"/>
    </row>
    <row r="410" spans="1:14" ht="60" x14ac:dyDescent="0.25">
      <c r="A410" s="19" t="s">
        <v>8152</v>
      </c>
      <c r="B410" s="17" t="s">
        <v>8151</v>
      </c>
      <c r="C410" s="20">
        <v>1</v>
      </c>
      <c r="D410" s="18">
        <v>34.299999999999997</v>
      </c>
      <c r="E410" s="20" t="s">
        <v>1617</v>
      </c>
      <c r="F410" s="17" t="s">
        <v>23</v>
      </c>
      <c r="G410" s="19" t="s">
        <v>74</v>
      </c>
      <c r="H410" s="18">
        <v>8.9466666666666672</v>
      </c>
      <c r="I410" s="17" t="s">
        <v>42</v>
      </c>
      <c r="J410" s="17" t="s">
        <v>41</v>
      </c>
      <c r="K410" s="17"/>
      <c r="L410" s="17"/>
      <c r="M410" s="16" t="str">
        <f>HYPERLINK("http://slimages.macys.com/is/image/MCY/18757258 ")</f>
        <v xml:space="preserve">http://slimages.macys.com/is/image/MCY/18757258 </v>
      </c>
      <c r="N410" s="30"/>
    </row>
    <row r="411" spans="1:14" ht="60" x14ac:dyDescent="0.25">
      <c r="A411" s="19" t="s">
        <v>9264</v>
      </c>
      <c r="B411" s="17" t="s">
        <v>9263</v>
      </c>
      <c r="C411" s="20">
        <v>1</v>
      </c>
      <c r="D411" s="18">
        <v>34.299999999999997</v>
      </c>
      <c r="E411" s="20" t="s">
        <v>257</v>
      </c>
      <c r="F411" s="17" t="s">
        <v>23</v>
      </c>
      <c r="G411" s="19" t="s">
        <v>197</v>
      </c>
      <c r="H411" s="18">
        <v>8.9466666666666672</v>
      </c>
      <c r="I411" s="17" t="s">
        <v>42</v>
      </c>
      <c r="J411" s="17" t="s">
        <v>41</v>
      </c>
      <c r="K411" s="17"/>
      <c r="L411" s="17"/>
      <c r="M411" s="16" t="str">
        <f>HYPERLINK("http://slimages.macys.com/is/image/MCY/19112141 ")</f>
        <v xml:space="preserve">http://slimages.macys.com/is/image/MCY/19112141 </v>
      </c>
      <c r="N411" s="30"/>
    </row>
    <row r="412" spans="1:14" ht="60" x14ac:dyDescent="0.25">
      <c r="A412" s="19" t="s">
        <v>9262</v>
      </c>
      <c r="B412" s="17" t="s">
        <v>9261</v>
      </c>
      <c r="C412" s="20">
        <v>1</v>
      </c>
      <c r="D412" s="18">
        <v>39</v>
      </c>
      <c r="E412" s="20" t="s">
        <v>9260</v>
      </c>
      <c r="F412" s="17" t="s">
        <v>23</v>
      </c>
      <c r="G412" s="19" t="s">
        <v>50</v>
      </c>
      <c r="H412" s="18">
        <v>8.6066666666666674</v>
      </c>
      <c r="I412" s="17" t="s">
        <v>49</v>
      </c>
      <c r="J412" s="17" t="s">
        <v>48</v>
      </c>
      <c r="K412" s="17"/>
      <c r="L412" s="17"/>
      <c r="M412" s="16" t="str">
        <f>HYPERLINK("http://slimages.macys.com/is/image/MCY/19348955 ")</f>
        <v xml:space="preserve">http://slimages.macys.com/is/image/MCY/19348955 </v>
      </c>
      <c r="N412" s="30"/>
    </row>
    <row r="413" spans="1:14" ht="60" x14ac:dyDescent="0.25">
      <c r="A413" s="19" t="s">
        <v>9259</v>
      </c>
      <c r="B413" s="17" t="s">
        <v>9258</v>
      </c>
      <c r="C413" s="20">
        <v>1</v>
      </c>
      <c r="D413" s="18">
        <v>46</v>
      </c>
      <c r="E413" s="20" t="s">
        <v>5551</v>
      </c>
      <c r="F413" s="17" t="s">
        <v>51</v>
      </c>
      <c r="G413" s="19" t="s">
        <v>62</v>
      </c>
      <c r="H413" s="18">
        <v>8.5866666666666678</v>
      </c>
      <c r="I413" s="17" t="s">
        <v>80</v>
      </c>
      <c r="J413" s="17" t="s">
        <v>183</v>
      </c>
      <c r="K413" s="17"/>
      <c r="L413" s="17"/>
      <c r="M413" s="16" t="str">
        <f>HYPERLINK("http://slimages.macys.com/is/image/MCY/19305448 ")</f>
        <v xml:space="preserve">http://slimages.macys.com/is/image/MCY/19305448 </v>
      </c>
      <c r="N413" s="30"/>
    </row>
    <row r="414" spans="1:14" ht="60" x14ac:dyDescent="0.25">
      <c r="A414" s="19" t="s">
        <v>8142</v>
      </c>
      <c r="B414" s="17" t="s">
        <v>8141</v>
      </c>
      <c r="C414" s="20">
        <v>2</v>
      </c>
      <c r="D414" s="18">
        <v>44.5</v>
      </c>
      <c r="E414" s="20" t="s">
        <v>4238</v>
      </c>
      <c r="F414" s="17" t="s">
        <v>23</v>
      </c>
      <c r="G414" s="19" t="s">
        <v>139</v>
      </c>
      <c r="H414" s="18">
        <v>8.379999999999999</v>
      </c>
      <c r="I414" s="17" t="s">
        <v>1891</v>
      </c>
      <c r="J414" s="17" t="s">
        <v>67</v>
      </c>
      <c r="K414" s="17"/>
      <c r="L414" s="17"/>
      <c r="M414" s="16" t="str">
        <f>HYPERLINK("http://slimages.macys.com/is/image/MCY/16862075 ")</f>
        <v xml:space="preserve">http://slimages.macys.com/is/image/MCY/16862075 </v>
      </c>
      <c r="N414" s="30"/>
    </row>
    <row r="415" spans="1:14" ht="60" x14ac:dyDescent="0.25">
      <c r="A415" s="19" t="s">
        <v>4240</v>
      </c>
      <c r="B415" s="17" t="s">
        <v>4239</v>
      </c>
      <c r="C415" s="20">
        <v>2</v>
      </c>
      <c r="D415" s="18">
        <v>44.5</v>
      </c>
      <c r="E415" s="20" t="s">
        <v>4238</v>
      </c>
      <c r="F415" s="17" t="s">
        <v>23</v>
      </c>
      <c r="G415" s="19"/>
      <c r="H415" s="18">
        <v>8.379999999999999</v>
      </c>
      <c r="I415" s="17" t="s">
        <v>1891</v>
      </c>
      <c r="J415" s="17" t="s">
        <v>67</v>
      </c>
      <c r="K415" s="17"/>
      <c r="L415" s="17"/>
      <c r="M415" s="16" t="str">
        <f>HYPERLINK("http://slimages.macys.com/is/image/MCY/16862075 ")</f>
        <v xml:space="preserve">http://slimages.macys.com/is/image/MCY/16862075 </v>
      </c>
      <c r="N415" s="30"/>
    </row>
    <row r="416" spans="1:14" ht="60" x14ac:dyDescent="0.25">
      <c r="A416" s="19" t="s">
        <v>9257</v>
      </c>
      <c r="B416" s="17" t="s">
        <v>9256</v>
      </c>
      <c r="C416" s="20">
        <v>2</v>
      </c>
      <c r="D416" s="18">
        <v>44.5</v>
      </c>
      <c r="E416" s="20" t="s">
        <v>4238</v>
      </c>
      <c r="F416" s="17" t="s">
        <v>23</v>
      </c>
      <c r="G416" s="19" t="s">
        <v>351</v>
      </c>
      <c r="H416" s="18">
        <v>8.379999999999999</v>
      </c>
      <c r="I416" s="17" t="s">
        <v>1891</v>
      </c>
      <c r="J416" s="17" t="s">
        <v>67</v>
      </c>
      <c r="K416" s="17"/>
      <c r="L416" s="17"/>
      <c r="M416" s="16" t="str">
        <f>HYPERLINK("http://slimages.macys.com/is/image/MCY/16862075 ")</f>
        <v xml:space="preserve">http://slimages.macys.com/is/image/MCY/16862075 </v>
      </c>
      <c r="N416" s="30"/>
    </row>
    <row r="417" spans="1:14" ht="60" x14ac:dyDescent="0.25">
      <c r="A417" s="19" t="s">
        <v>9255</v>
      </c>
      <c r="B417" s="17" t="s">
        <v>9254</v>
      </c>
      <c r="C417" s="20">
        <v>1</v>
      </c>
      <c r="D417" s="18">
        <v>44.5</v>
      </c>
      <c r="E417" s="20" t="s">
        <v>9253</v>
      </c>
      <c r="F417" s="17" t="s">
        <v>58</v>
      </c>
      <c r="G417" s="19" t="s">
        <v>57</v>
      </c>
      <c r="H417" s="18">
        <v>8.379999999999999</v>
      </c>
      <c r="I417" s="17" t="s">
        <v>68</v>
      </c>
      <c r="J417" s="17" t="s">
        <v>67</v>
      </c>
      <c r="K417" s="17"/>
      <c r="L417" s="17"/>
      <c r="M417" s="16" t="str">
        <f>HYPERLINK("http://slimages.macys.com/is/image/MCY/18863095 ")</f>
        <v xml:space="preserve">http://slimages.macys.com/is/image/MCY/18863095 </v>
      </c>
      <c r="N417" s="30"/>
    </row>
    <row r="418" spans="1:14" ht="60" x14ac:dyDescent="0.25">
      <c r="A418" s="19" t="s">
        <v>8138</v>
      </c>
      <c r="B418" s="17" t="s">
        <v>8137</v>
      </c>
      <c r="C418" s="20">
        <v>1</v>
      </c>
      <c r="D418" s="18">
        <v>44.5</v>
      </c>
      <c r="E418" s="20" t="s">
        <v>4238</v>
      </c>
      <c r="F418" s="17" t="s">
        <v>23</v>
      </c>
      <c r="G418" s="19" t="s">
        <v>271</v>
      </c>
      <c r="H418" s="18">
        <v>8.379999999999999</v>
      </c>
      <c r="I418" s="17" t="s">
        <v>1891</v>
      </c>
      <c r="J418" s="17" t="s">
        <v>67</v>
      </c>
      <c r="K418" s="17"/>
      <c r="L418" s="17"/>
      <c r="M418" s="16" t="str">
        <f>HYPERLINK("http://slimages.macys.com/is/image/MCY/16862075 ")</f>
        <v xml:space="preserve">http://slimages.macys.com/is/image/MCY/16862075 </v>
      </c>
      <c r="N418" s="30"/>
    </row>
    <row r="419" spans="1:14" ht="60" x14ac:dyDescent="0.25">
      <c r="A419" s="19" t="s">
        <v>9252</v>
      </c>
      <c r="B419" s="17" t="s">
        <v>9251</v>
      </c>
      <c r="C419" s="20">
        <v>1</v>
      </c>
      <c r="D419" s="18">
        <v>59</v>
      </c>
      <c r="E419" s="20" t="s">
        <v>9250</v>
      </c>
      <c r="F419" s="17" t="s">
        <v>51</v>
      </c>
      <c r="G419" s="19" t="s">
        <v>271</v>
      </c>
      <c r="H419" s="18">
        <v>8.3333333333333339</v>
      </c>
      <c r="I419" s="17" t="s">
        <v>267</v>
      </c>
      <c r="J419" s="17" t="s">
        <v>32</v>
      </c>
      <c r="K419" s="17" t="s">
        <v>389</v>
      </c>
      <c r="L419" s="17" t="s">
        <v>9249</v>
      </c>
      <c r="M419" s="16" t="str">
        <f>HYPERLINK("http://slimages.macys.com/is/image/MCY/15163412 ")</f>
        <v xml:space="preserve">http://slimages.macys.com/is/image/MCY/15163412 </v>
      </c>
      <c r="N419" s="30"/>
    </row>
    <row r="420" spans="1:14" ht="60" x14ac:dyDescent="0.25">
      <c r="A420" s="19" t="s">
        <v>9248</v>
      </c>
      <c r="B420" s="17" t="s">
        <v>9247</v>
      </c>
      <c r="C420" s="20">
        <v>2</v>
      </c>
      <c r="D420" s="18">
        <v>50</v>
      </c>
      <c r="E420" s="20">
        <v>30136795</v>
      </c>
      <c r="F420" s="17" t="s">
        <v>282</v>
      </c>
      <c r="G420" s="19" t="s">
        <v>749</v>
      </c>
      <c r="H420" s="18">
        <v>8.3333333333333339</v>
      </c>
      <c r="I420" s="17" t="s">
        <v>1777</v>
      </c>
      <c r="J420" s="17" t="s">
        <v>1776</v>
      </c>
      <c r="K420" s="17"/>
      <c r="L420" s="17"/>
      <c r="M420" s="16" t="str">
        <f>HYPERLINK("http://slimages.macys.com/is/image/MCY/18284959 ")</f>
        <v xml:space="preserve">http://slimages.macys.com/is/image/MCY/18284959 </v>
      </c>
      <c r="N420" s="30"/>
    </row>
    <row r="421" spans="1:14" ht="60" x14ac:dyDescent="0.25">
      <c r="A421" s="19" t="s">
        <v>9246</v>
      </c>
      <c r="B421" s="17" t="s">
        <v>9245</v>
      </c>
      <c r="C421" s="20">
        <v>1</v>
      </c>
      <c r="D421" s="18">
        <v>50</v>
      </c>
      <c r="E421" s="20">
        <v>30136795</v>
      </c>
      <c r="F421" s="17" t="s">
        <v>28</v>
      </c>
      <c r="G421" s="19" t="s">
        <v>96</v>
      </c>
      <c r="H421" s="18">
        <v>8.3333333333333339</v>
      </c>
      <c r="I421" s="17" t="s">
        <v>1777</v>
      </c>
      <c r="J421" s="17" t="s">
        <v>1776</v>
      </c>
      <c r="K421" s="17"/>
      <c r="L421" s="17"/>
      <c r="M421" s="16" t="str">
        <f>HYPERLINK("http://slimages.macys.com/is/image/MCY/18284959 ")</f>
        <v xml:space="preserve">http://slimages.macys.com/is/image/MCY/18284959 </v>
      </c>
      <c r="N421" s="30"/>
    </row>
    <row r="422" spans="1:14" ht="60" x14ac:dyDescent="0.25">
      <c r="A422" s="19" t="s">
        <v>9244</v>
      </c>
      <c r="B422" s="17" t="s">
        <v>9243</v>
      </c>
      <c r="C422" s="20">
        <v>1</v>
      </c>
      <c r="D422" s="18">
        <v>50</v>
      </c>
      <c r="E422" s="20">
        <v>30136795</v>
      </c>
      <c r="F422" s="17" t="s">
        <v>282</v>
      </c>
      <c r="G422" s="19" t="s">
        <v>96</v>
      </c>
      <c r="H422" s="18">
        <v>8.3333333333333339</v>
      </c>
      <c r="I422" s="17" t="s">
        <v>1777</v>
      </c>
      <c r="J422" s="17" t="s">
        <v>1776</v>
      </c>
      <c r="K422" s="17"/>
      <c r="L422" s="17"/>
      <c r="M422" s="16" t="str">
        <f>HYPERLINK("http://slimages.macys.com/is/image/MCY/18284959 ")</f>
        <v xml:space="preserve">http://slimages.macys.com/is/image/MCY/18284959 </v>
      </c>
      <c r="N422" s="30"/>
    </row>
    <row r="423" spans="1:14" ht="60" x14ac:dyDescent="0.25">
      <c r="A423" s="19" t="s">
        <v>9242</v>
      </c>
      <c r="B423" s="17" t="s">
        <v>9241</v>
      </c>
      <c r="C423" s="20">
        <v>1</v>
      </c>
      <c r="D423" s="18">
        <v>59.5</v>
      </c>
      <c r="E423" s="20" t="s">
        <v>9240</v>
      </c>
      <c r="F423" s="17" t="s">
        <v>91</v>
      </c>
      <c r="G423" s="19" t="s">
        <v>271</v>
      </c>
      <c r="H423" s="18">
        <v>8.3333333333333339</v>
      </c>
      <c r="I423" s="17" t="s">
        <v>267</v>
      </c>
      <c r="J423" s="17" t="s">
        <v>32</v>
      </c>
      <c r="K423" s="17"/>
      <c r="L423" s="17"/>
      <c r="M423" s="16" t="str">
        <f>HYPERLINK("http://slimages.macys.com/is/image/MCY/17454341 ")</f>
        <v xml:space="preserve">http://slimages.macys.com/is/image/MCY/17454341 </v>
      </c>
      <c r="N423" s="30"/>
    </row>
    <row r="424" spans="1:14" ht="60" x14ac:dyDescent="0.25">
      <c r="A424" s="19" t="s">
        <v>9239</v>
      </c>
      <c r="B424" s="17" t="s">
        <v>9238</v>
      </c>
      <c r="C424" s="20">
        <v>1</v>
      </c>
      <c r="D424" s="18">
        <v>44.5</v>
      </c>
      <c r="E424" s="20">
        <v>30127869</v>
      </c>
      <c r="F424" s="17" t="s">
        <v>23</v>
      </c>
      <c r="G424" s="19" t="s">
        <v>74</v>
      </c>
      <c r="H424" s="18">
        <v>8.3066666666666666</v>
      </c>
      <c r="I424" s="17" t="s">
        <v>80</v>
      </c>
      <c r="J424" s="17" t="s">
        <v>513</v>
      </c>
      <c r="K424" s="17"/>
      <c r="L424" s="17"/>
      <c r="M424" s="16" t="str">
        <f>HYPERLINK("http://slimages.macys.com/is/image/MCY/18648593 ")</f>
        <v xml:space="preserve">http://slimages.macys.com/is/image/MCY/18648593 </v>
      </c>
      <c r="N424" s="30"/>
    </row>
    <row r="425" spans="1:14" ht="60" x14ac:dyDescent="0.25">
      <c r="A425" s="19" t="s">
        <v>9237</v>
      </c>
      <c r="B425" s="17" t="s">
        <v>9236</v>
      </c>
      <c r="C425" s="20">
        <v>1</v>
      </c>
      <c r="D425" s="18">
        <v>31.5</v>
      </c>
      <c r="E425" s="20" t="s">
        <v>2556</v>
      </c>
      <c r="F425" s="17" t="s">
        <v>23</v>
      </c>
      <c r="G425" s="19" t="s">
        <v>57</v>
      </c>
      <c r="H425" s="18">
        <v>8.2200000000000006</v>
      </c>
      <c r="I425" s="17" t="s">
        <v>42</v>
      </c>
      <c r="J425" s="17" t="s">
        <v>41</v>
      </c>
      <c r="K425" s="17"/>
      <c r="L425" s="17"/>
      <c r="M425" s="16" t="str">
        <f>HYPERLINK("http://slimages.macys.com/is/image/MCY/18757242 ")</f>
        <v xml:space="preserve">http://slimages.macys.com/is/image/MCY/18757242 </v>
      </c>
      <c r="N425" s="30"/>
    </row>
    <row r="426" spans="1:14" ht="60" x14ac:dyDescent="0.25">
      <c r="A426" s="19" t="s">
        <v>9235</v>
      </c>
      <c r="B426" s="17" t="s">
        <v>9234</v>
      </c>
      <c r="C426" s="20">
        <v>1</v>
      </c>
      <c r="D426" s="18">
        <v>44</v>
      </c>
      <c r="E426" s="20" t="s">
        <v>1773</v>
      </c>
      <c r="F426" s="17" t="s">
        <v>58</v>
      </c>
      <c r="G426" s="19" t="s">
        <v>74</v>
      </c>
      <c r="H426" s="18">
        <v>8.2133333333333329</v>
      </c>
      <c r="I426" s="17" t="s">
        <v>80</v>
      </c>
      <c r="J426" s="17" t="s">
        <v>183</v>
      </c>
      <c r="K426" s="17"/>
      <c r="L426" s="17"/>
      <c r="M426" s="16" t="str">
        <f>HYPERLINK("http://slimages.macys.com/is/image/MCY/19735596 ")</f>
        <v xml:space="preserve">http://slimages.macys.com/is/image/MCY/19735596 </v>
      </c>
      <c r="N426" s="30"/>
    </row>
    <row r="427" spans="1:14" ht="60" x14ac:dyDescent="0.25">
      <c r="A427" s="19" t="s">
        <v>9233</v>
      </c>
      <c r="B427" s="17" t="s">
        <v>9232</v>
      </c>
      <c r="C427" s="20">
        <v>1</v>
      </c>
      <c r="D427" s="18">
        <v>59</v>
      </c>
      <c r="E427" s="20">
        <v>10773158</v>
      </c>
      <c r="F427" s="17" t="s">
        <v>390</v>
      </c>
      <c r="G427" s="19" t="s">
        <v>139</v>
      </c>
      <c r="H427" s="18">
        <v>8.1666666666666679</v>
      </c>
      <c r="I427" s="17" t="s">
        <v>1307</v>
      </c>
      <c r="J427" s="17" t="s">
        <v>1306</v>
      </c>
      <c r="K427" s="17"/>
      <c r="L427" s="17"/>
      <c r="M427" s="16" t="str">
        <f>HYPERLINK("http://slimages.macys.com/is/image/MCY/18703447 ")</f>
        <v xml:space="preserve">http://slimages.macys.com/is/image/MCY/18703447 </v>
      </c>
      <c r="N427" s="30"/>
    </row>
    <row r="428" spans="1:14" ht="60" x14ac:dyDescent="0.25">
      <c r="A428" s="19" t="s">
        <v>5548</v>
      </c>
      <c r="B428" s="17" t="s">
        <v>5547</v>
      </c>
      <c r="C428" s="20">
        <v>1</v>
      </c>
      <c r="D428" s="18">
        <v>49</v>
      </c>
      <c r="E428" s="20" t="s">
        <v>4228</v>
      </c>
      <c r="F428" s="17" t="s">
        <v>508</v>
      </c>
      <c r="G428" s="19" t="s">
        <v>101</v>
      </c>
      <c r="H428" s="18">
        <v>8.1666666666666679</v>
      </c>
      <c r="I428" s="17" t="s">
        <v>129</v>
      </c>
      <c r="J428" s="17" t="s">
        <v>128</v>
      </c>
      <c r="K428" s="17"/>
      <c r="L428" s="17"/>
      <c r="M428" s="16" t="str">
        <f>HYPERLINK("http://slimages.macys.com/is/image/MCY/19146415 ")</f>
        <v xml:space="preserve">http://slimages.macys.com/is/image/MCY/19146415 </v>
      </c>
      <c r="N428" s="30"/>
    </row>
    <row r="429" spans="1:14" ht="60" x14ac:dyDescent="0.25">
      <c r="A429" s="19" t="s">
        <v>9231</v>
      </c>
      <c r="B429" s="17" t="s">
        <v>9230</v>
      </c>
      <c r="C429" s="20">
        <v>1</v>
      </c>
      <c r="D429" s="18">
        <v>49</v>
      </c>
      <c r="E429" s="20" t="s">
        <v>9229</v>
      </c>
      <c r="F429" s="17" t="s">
        <v>51</v>
      </c>
      <c r="G429" s="19" t="s">
        <v>69</v>
      </c>
      <c r="H429" s="18">
        <v>8.1666666666666679</v>
      </c>
      <c r="I429" s="17" t="s">
        <v>678</v>
      </c>
      <c r="J429" s="17" t="s">
        <v>404</v>
      </c>
      <c r="K429" s="17"/>
      <c r="L429" s="17"/>
      <c r="M429" s="16" t="str">
        <f>HYPERLINK("http://slimages.macys.com/is/image/MCY/19377453 ")</f>
        <v xml:space="preserve">http://slimages.macys.com/is/image/MCY/19377453 </v>
      </c>
      <c r="N429" s="30"/>
    </row>
    <row r="430" spans="1:14" ht="60" x14ac:dyDescent="0.25">
      <c r="A430" s="19" t="s">
        <v>9228</v>
      </c>
      <c r="B430" s="17" t="s">
        <v>9227</v>
      </c>
      <c r="C430" s="20">
        <v>1</v>
      </c>
      <c r="D430" s="18">
        <v>49</v>
      </c>
      <c r="E430" s="20">
        <v>7021616</v>
      </c>
      <c r="F430" s="17" t="s">
        <v>1536</v>
      </c>
      <c r="G430" s="19" t="s">
        <v>22</v>
      </c>
      <c r="H430" s="18">
        <v>8.1666666666666679</v>
      </c>
      <c r="I430" s="17" t="s">
        <v>111</v>
      </c>
      <c r="J430" s="17" t="s">
        <v>110</v>
      </c>
      <c r="K430" s="17"/>
      <c r="L430" s="17"/>
      <c r="M430" s="16" t="str">
        <f>HYPERLINK("http://slimages.macys.com/is/image/MCY/18742345 ")</f>
        <v xml:space="preserve">http://slimages.macys.com/is/image/MCY/18742345 </v>
      </c>
      <c r="N430" s="30"/>
    </row>
    <row r="431" spans="1:14" ht="60" x14ac:dyDescent="0.25">
      <c r="A431" s="19" t="s">
        <v>9226</v>
      </c>
      <c r="B431" s="17" t="s">
        <v>9225</v>
      </c>
      <c r="C431" s="20">
        <v>1</v>
      </c>
      <c r="D431" s="18">
        <v>79</v>
      </c>
      <c r="E431" s="20">
        <v>2360222</v>
      </c>
      <c r="F431" s="17" t="s">
        <v>28</v>
      </c>
      <c r="G431" s="19" t="s">
        <v>101</v>
      </c>
      <c r="H431" s="18">
        <v>8.1066666666666674</v>
      </c>
      <c r="I431" s="17" t="s">
        <v>80</v>
      </c>
      <c r="J431" s="17" t="s">
        <v>293</v>
      </c>
      <c r="K431" s="17"/>
      <c r="L431" s="17"/>
      <c r="M431" s="16" t="str">
        <f>HYPERLINK("http://slimages.macys.com/is/image/MCY/18403289 ")</f>
        <v xml:space="preserve">http://slimages.macys.com/is/image/MCY/18403289 </v>
      </c>
      <c r="N431" s="30"/>
    </row>
    <row r="432" spans="1:14" ht="60" x14ac:dyDescent="0.25">
      <c r="A432" s="19" t="s">
        <v>9224</v>
      </c>
      <c r="B432" s="17" t="s">
        <v>9223</v>
      </c>
      <c r="C432" s="20">
        <v>1</v>
      </c>
      <c r="D432" s="18">
        <v>36.75</v>
      </c>
      <c r="E432" s="20" t="s">
        <v>9222</v>
      </c>
      <c r="F432" s="17" t="s">
        <v>35</v>
      </c>
      <c r="G432" s="19" t="s">
        <v>271</v>
      </c>
      <c r="H432" s="18">
        <v>8.0200000000000014</v>
      </c>
      <c r="I432" s="17" t="s">
        <v>358</v>
      </c>
      <c r="J432" s="17" t="s">
        <v>32</v>
      </c>
      <c r="K432" s="17" t="s">
        <v>389</v>
      </c>
      <c r="L432" s="17" t="s">
        <v>388</v>
      </c>
      <c r="M432" s="16" t="str">
        <f>HYPERLINK("http://slimages.macys.com/is/image/MCY/16080904 ")</f>
        <v xml:space="preserve">http://slimages.macys.com/is/image/MCY/16080904 </v>
      </c>
      <c r="N432" s="30"/>
    </row>
    <row r="433" spans="1:14" ht="60" x14ac:dyDescent="0.25">
      <c r="A433" s="19" t="s">
        <v>9221</v>
      </c>
      <c r="B433" s="17" t="s">
        <v>9220</v>
      </c>
      <c r="C433" s="20">
        <v>1</v>
      </c>
      <c r="D433" s="18">
        <v>48</v>
      </c>
      <c r="E433" s="20">
        <v>30136600</v>
      </c>
      <c r="F433" s="17" t="s">
        <v>282</v>
      </c>
      <c r="G433" s="19" t="s">
        <v>857</v>
      </c>
      <c r="H433" s="18">
        <v>8</v>
      </c>
      <c r="I433" s="17" t="s">
        <v>1777</v>
      </c>
      <c r="J433" s="17" t="s">
        <v>1776</v>
      </c>
      <c r="K433" s="17"/>
      <c r="L433" s="17"/>
      <c r="M433" s="16" t="str">
        <f>HYPERLINK("http://slimages.macys.com/is/image/MCY/18504397 ")</f>
        <v xml:space="preserve">http://slimages.macys.com/is/image/MCY/18504397 </v>
      </c>
      <c r="N433" s="30"/>
    </row>
    <row r="434" spans="1:14" ht="60" x14ac:dyDescent="0.25">
      <c r="A434" s="19" t="s">
        <v>9219</v>
      </c>
      <c r="B434" s="17" t="s">
        <v>9218</v>
      </c>
      <c r="C434" s="20">
        <v>1</v>
      </c>
      <c r="D434" s="18">
        <v>48</v>
      </c>
      <c r="E434" s="20">
        <v>30139413</v>
      </c>
      <c r="F434" s="17" t="s">
        <v>28</v>
      </c>
      <c r="G434" s="19" t="s">
        <v>116</v>
      </c>
      <c r="H434" s="18">
        <v>8</v>
      </c>
      <c r="I434" s="17" t="s">
        <v>1777</v>
      </c>
      <c r="J434" s="17" t="s">
        <v>1776</v>
      </c>
      <c r="K434" s="17"/>
      <c r="L434" s="17"/>
      <c r="M434" s="16" t="str">
        <f>HYPERLINK("http://slimages.macys.com/is/image/MCY/18504397 ")</f>
        <v xml:space="preserve">http://slimages.macys.com/is/image/MCY/18504397 </v>
      </c>
      <c r="N434" s="30"/>
    </row>
    <row r="435" spans="1:14" ht="60" x14ac:dyDescent="0.25">
      <c r="A435" s="19" t="s">
        <v>9217</v>
      </c>
      <c r="B435" s="17" t="s">
        <v>9216</v>
      </c>
      <c r="C435" s="20">
        <v>2</v>
      </c>
      <c r="D435" s="18">
        <v>48</v>
      </c>
      <c r="E435" s="20">
        <v>30136600</v>
      </c>
      <c r="F435" s="17" t="s">
        <v>282</v>
      </c>
      <c r="G435" s="19" t="s">
        <v>116</v>
      </c>
      <c r="H435" s="18">
        <v>8</v>
      </c>
      <c r="I435" s="17" t="s">
        <v>1777</v>
      </c>
      <c r="J435" s="17" t="s">
        <v>1776</v>
      </c>
      <c r="K435" s="17"/>
      <c r="L435" s="17"/>
      <c r="M435" s="16" t="str">
        <f>HYPERLINK("http://slimages.macys.com/is/image/MCY/18504397 ")</f>
        <v xml:space="preserve">http://slimages.macys.com/is/image/MCY/18504397 </v>
      </c>
      <c r="N435" s="30"/>
    </row>
    <row r="436" spans="1:14" ht="60" x14ac:dyDescent="0.25">
      <c r="A436" s="19" t="s">
        <v>9215</v>
      </c>
      <c r="B436" s="17" t="s">
        <v>9214</v>
      </c>
      <c r="C436" s="20">
        <v>1</v>
      </c>
      <c r="D436" s="18">
        <v>48</v>
      </c>
      <c r="E436" s="20">
        <v>30139417</v>
      </c>
      <c r="F436" s="17" t="s">
        <v>514</v>
      </c>
      <c r="G436" s="19" t="s">
        <v>116</v>
      </c>
      <c r="H436" s="18">
        <v>8</v>
      </c>
      <c r="I436" s="17" t="s">
        <v>1777</v>
      </c>
      <c r="J436" s="17" t="s">
        <v>1776</v>
      </c>
      <c r="K436" s="17"/>
      <c r="L436" s="17"/>
      <c r="M436" s="16" t="str">
        <f>HYPERLINK("http://slimages.macys.com/is/image/MCY/18504397 ")</f>
        <v xml:space="preserve">http://slimages.macys.com/is/image/MCY/18504397 </v>
      </c>
      <c r="N436" s="30"/>
    </row>
    <row r="437" spans="1:14" ht="60" x14ac:dyDescent="0.25">
      <c r="A437" s="19" t="s">
        <v>7126</v>
      </c>
      <c r="B437" s="17" t="s">
        <v>7125</v>
      </c>
      <c r="C437" s="20">
        <v>1</v>
      </c>
      <c r="D437" s="18">
        <v>30</v>
      </c>
      <c r="E437" s="20" t="s">
        <v>1032</v>
      </c>
      <c r="F437" s="17" t="s">
        <v>51</v>
      </c>
      <c r="G437" s="19" t="s">
        <v>17</v>
      </c>
      <c r="H437" s="18">
        <v>7.8666666666666663</v>
      </c>
      <c r="I437" s="17" t="s">
        <v>16</v>
      </c>
      <c r="J437" s="17" t="s">
        <v>15</v>
      </c>
      <c r="K437" s="17"/>
      <c r="L437" s="17"/>
      <c r="M437" s="16" t="str">
        <f>HYPERLINK("http://slimages.macys.com/is/image/MCY/19382853 ")</f>
        <v xml:space="preserve">http://slimages.macys.com/is/image/MCY/19382853 </v>
      </c>
      <c r="N437" s="30"/>
    </row>
    <row r="438" spans="1:14" ht="60" x14ac:dyDescent="0.25">
      <c r="A438" s="19" t="s">
        <v>9213</v>
      </c>
      <c r="B438" s="17" t="s">
        <v>9212</v>
      </c>
      <c r="C438" s="20">
        <v>1</v>
      </c>
      <c r="D438" s="18">
        <v>30</v>
      </c>
      <c r="E438" s="20" t="s">
        <v>1032</v>
      </c>
      <c r="F438" s="17" t="s">
        <v>51</v>
      </c>
      <c r="G438" s="19" t="s">
        <v>62</v>
      </c>
      <c r="H438" s="18">
        <v>7.8666666666666663</v>
      </c>
      <c r="I438" s="17" t="s">
        <v>16</v>
      </c>
      <c r="J438" s="17" t="s">
        <v>15</v>
      </c>
      <c r="K438" s="17"/>
      <c r="L438" s="17"/>
      <c r="M438" s="16" t="str">
        <f>HYPERLINK("http://slimages.macys.com/is/image/MCY/19382853 ")</f>
        <v xml:space="preserve">http://slimages.macys.com/is/image/MCY/19382853 </v>
      </c>
      <c r="N438" s="30"/>
    </row>
    <row r="439" spans="1:14" ht="84" x14ac:dyDescent="0.25">
      <c r="A439" s="19" t="s">
        <v>1036</v>
      </c>
      <c r="B439" s="17" t="s">
        <v>1035</v>
      </c>
      <c r="C439" s="20">
        <v>1</v>
      </c>
      <c r="D439" s="18">
        <v>30</v>
      </c>
      <c r="E439" s="20" t="s">
        <v>1029</v>
      </c>
      <c r="F439" s="17" t="s">
        <v>51</v>
      </c>
      <c r="G439" s="19" t="s">
        <v>17</v>
      </c>
      <c r="H439" s="18">
        <v>7.8666666666666663</v>
      </c>
      <c r="I439" s="17" t="s">
        <v>16</v>
      </c>
      <c r="J439" s="17" t="s">
        <v>15</v>
      </c>
      <c r="K439" s="17" t="s">
        <v>389</v>
      </c>
      <c r="L439" s="17" t="s">
        <v>1028</v>
      </c>
      <c r="M439" s="16" t="str">
        <f>HYPERLINK("http://slimages.macys.com/is/image/MCY/9343963 ")</f>
        <v xml:space="preserve">http://slimages.macys.com/is/image/MCY/9343963 </v>
      </c>
      <c r="N439" s="30"/>
    </row>
    <row r="440" spans="1:14" ht="60" x14ac:dyDescent="0.25">
      <c r="A440" s="19" t="s">
        <v>9211</v>
      </c>
      <c r="B440" s="17" t="s">
        <v>9210</v>
      </c>
      <c r="C440" s="20">
        <v>1</v>
      </c>
      <c r="D440" s="18">
        <v>30</v>
      </c>
      <c r="E440" s="20" t="s">
        <v>9209</v>
      </c>
      <c r="F440" s="17" t="s">
        <v>1526</v>
      </c>
      <c r="G440" s="19" t="s">
        <v>17</v>
      </c>
      <c r="H440" s="18">
        <v>7.8666666666666663</v>
      </c>
      <c r="I440" s="17" t="s">
        <v>16</v>
      </c>
      <c r="J440" s="17" t="s">
        <v>15</v>
      </c>
      <c r="K440" s="17"/>
      <c r="L440" s="17"/>
      <c r="M440" s="16" t="str">
        <f>HYPERLINK("http://slimages.macys.com/is/image/MCY/18264436 ")</f>
        <v xml:space="preserve">http://slimages.macys.com/is/image/MCY/18264436 </v>
      </c>
      <c r="N440" s="30"/>
    </row>
    <row r="441" spans="1:14" ht="60" x14ac:dyDescent="0.25">
      <c r="A441" s="19" t="s">
        <v>9208</v>
      </c>
      <c r="B441" s="17" t="s">
        <v>9207</v>
      </c>
      <c r="C441" s="20">
        <v>1</v>
      </c>
      <c r="D441" s="18">
        <v>46</v>
      </c>
      <c r="E441" s="20">
        <v>30140284</v>
      </c>
      <c r="F441" s="17" t="s">
        <v>28</v>
      </c>
      <c r="G441" s="19" t="s">
        <v>698</v>
      </c>
      <c r="H441" s="18">
        <v>7.6666666666666661</v>
      </c>
      <c r="I441" s="17" t="s">
        <v>1777</v>
      </c>
      <c r="J441" s="17" t="s">
        <v>1776</v>
      </c>
      <c r="K441" s="17"/>
      <c r="L441" s="17"/>
      <c r="M441" s="16" t="str">
        <f>HYPERLINK("http://slimages.macys.com/is/image/MCY/18284945 ")</f>
        <v xml:space="preserve">http://slimages.macys.com/is/image/MCY/18284945 </v>
      </c>
      <c r="N441" s="30"/>
    </row>
    <row r="442" spans="1:14" ht="60" x14ac:dyDescent="0.25">
      <c r="A442" s="19" t="s">
        <v>9206</v>
      </c>
      <c r="B442" s="17" t="s">
        <v>9205</v>
      </c>
      <c r="C442" s="20">
        <v>1</v>
      </c>
      <c r="D442" s="18">
        <v>46</v>
      </c>
      <c r="E442" s="20">
        <v>30139504</v>
      </c>
      <c r="F442" s="17" t="s">
        <v>2324</v>
      </c>
      <c r="G442" s="19" t="s">
        <v>658</v>
      </c>
      <c r="H442" s="18">
        <v>7.6666666666666661</v>
      </c>
      <c r="I442" s="17" t="s">
        <v>1777</v>
      </c>
      <c r="J442" s="17" t="s">
        <v>1776</v>
      </c>
      <c r="K442" s="17"/>
      <c r="L442" s="17"/>
      <c r="M442" s="16" t="str">
        <f>HYPERLINK("http://slimages.macys.com/is/image/MCY/18284945 ")</f>
        <v xml:space="preserve">http://slimages.macys.com/is/image/MCY/18284945 </v>
      </c>
      <c r="N442" s="30"/>
    </row>
    <row r="443" spans="1:14" ht="60" x14ac:dyDescent="0.25">
      <c r="A443" s="19" t="s">
        <v>9204</v>
      </c>
      <c r="B443" s="17" t="s">
        <v>9203</v>
      </c>
      <c r="C443" s="20">
        <v>1</v>
      </c>
      <c r="D443" s="18">
        <v>46</v>
      </c>
      <c r="E443" s="20">
        <v>30139505</v>
      </c>
      <c r="F443" s="17" t="s">
        <v>282</v>
      </c>
      <c r="G443" s="19" t="s">
        <v>658</v>
      </c>
      <c r="H443" s="18">
        <v>7.6666666666666661</v>
      </c>
      <c r="I443" s="17" t="s">
        <v>1777</v>
      </c>
      <c r="J443" s="17" t="s">
        <v>1776</v>
      </c>
      <c r="K443" s="17"/>
      <c r="L443" s="17"/>
      <c r="M443" s="16" t="str">
        <f>HYPERLINK("http://slimages.macys.com/is/image/MCY/18284945 ")</f>
        <v xml:space="preserve">http://slimages.macys.com/is/image/MCY/18284945 </v>
      </c>
      <c r="N443" s="30"/>
    </row>
    <row r="444" spans="1:14" ht="60" x14ac:dyDescent="0.25">
      <c r="A444" s="19" t="s">
        <v>9202</v>
      </c>
      <c r="B444" s="17" t="s">
        <v>9201</v>
      </c>
      <c r="C444" s="20">
        <v>1</v>
      </c>
      <c r="D444" s="18">
        <v>49</v>
      </c>
      <c r="E444" s="20">
        <v>2331035</v>
      </c>
      <c r="F444" s="17" t="s">
        <v>63</v>
      </c>
      <c r="G444" s="19" t="s">
        <v>17</v>
      </c>
      <c r="H444" s="18">
        <v>7.5</v>
      </c>
      <c r="I444" s="17" t="s">
        <v>80</v>
      </c>
      <c r="J444" s="17" t="s">
        <v>293</v>
      </c>
      <c r="K444" s="17"/>
      <c r="L444" s="17"/>
      <c r="M444" s="16" t="str">
        <f>HYPERLINK("http://slimages.macys.com/is/image/MCY/19455178 ")</f>
        <v xml:space="preserve">http://slimages.macys.com/is/image/MCY/19455178 </v>
      </c>
      <c r="N444" s="30"/>
    </row>
    <row r="445" spans="1:14" ht="60" x14ac:dyDescent="0.25">
      <c r="A445" s="19" t="s">
        <v>9200</v>
      </c>
      <c r="B445" s="17" t="s">
        <v>9199</v>
      </c>
      <c r="C445" s="20">
        <v>1</v>
      </c>
      <c r="D445" s="18">
        <v>49</v>
      </c>
      <c r="E445" s="20">
        <v>2331301</v>
      </c>
      <c r="F445" s="17" t="s">
        <v>28</v>
      </c>
      <c r="G445" s="19" t="s">
        <v>313</v>
      </c>
      <c r="H445" s="18">
        <v>7.5</v>
      </c>
      <c r="I445" s="17" t="s">
        <v>80</v>
      </c>
      <c r="J445" s="17" t="s">
        <v>293</v>
      </c>
      <c r="K445" s="17"/>
      <c r="L445" s="17"/>
      <c r="M445" s="16" t="str">
        <f>HYPERLINK("http://slimages.macys.com/is/image/MCY/19223516 ")</f>
        <v xml:space="preserve">http://slimages.macys.com/is/image/MCY/19223516 </v>
      </c>
      <c r="N445" s="30"/>
    </row>
    <row r="446" spans="1:14" ht="60" x14ac:dyDescent="0.25">
      <c r="A446" s="19" t="s">
        <v>8085</v>
      </c>
      <c r="B446" s="17" t="s">
        <v>8084</v>
      </c>
      <c r="C446" s="20">
        <v>4</v>
      </c>
      <c r="D446" s="18">
        <v>49</v>
      </c>
      <c r="E446" s="20">
        <v>2331301</v>
      </c>
      <c r="F446" s="17" t="s">
        <v>23</v>
      </c>
      <c r="G446" s="19" t="s">
        <v>17</v>
      </c>
      <c r="H446" s="18">
        <v>7.5</v>
      </c>
      <c r="I446" s="17" t="s">
        <v>80</v>
      </c>
      <c r="J446" s="17" t="s">
        <v>293</v>
      </c>
      <c r="K446" s="17"/>
      <c r="L446" s="17"/>
      <c r="M446" s="16" t="str">
        <f>HYPERLINK("http://slimages.macys.com/is/image/MCY/19226269 ")</f>
        <v xml:space="preserve">http://slimages.macys.com/is/image/MCY/19226269 </v>
      </c>
      <c r="N446" s="30"/>
    </row>
    <row r="447" spans="1:14" ht="60" x14ac:dyDescent="0.25">
      <c r="A447" s="19" t="s">
        <v>9198</v>
      </c>
      <c r="B447" s="17" t="s">
        <v>9197</v>
      </c>
      <c r="C447" s="20">
        <v>1</v>
      </c>
      <c r="D447" s="18">
        <v>49</v>
      </c>
      <c r="E447" s="20">
        <v>2331002</v>
      </c>
      <c r="F447" s="17" t="s">
        <v>91</v>
      </c>
      <c r="G447" s="19" t="s">
        <v>50</v>
      </c>
      <c r="H447" s="18">
        <v>7.5</v>
      </c>
      <c r="I447" s="17" t="s">
        <v>80</v>
      </c>
      <c r="J447" s="17" t="s">
        <v>293</v>
      </c>
      <c r="K447" s="17"/>
      <c r="L447" s="17"/>
      <c r="M447" s="16" t="str">
        <f>HYPERLINK("http://slimages.macys.com/is/image/MCY/19454909 ")</f>
        <v xml:space="preserve">http://slimages.macys.com/is/image/MCY/19454909 </v>
      </c>
      <c r="N447" s="30"/>
    </row>
    <row r="448" spans="1:14" ht="60" x14ac:dyDescent="0.25">
      <c r="A448" s="19" t="s">
        <v>7112</v>
      </c>
      <c r="B448" s="17" t="s">
        <v>7111</v>
      </c>
      <c r="C448" s="20">
        <v>1</v>
      </c>
      <c r="D448" s="18">
        <v>49</v>
      </c>
      <c r="E448" s="20">
        <v>2331002</v>
      </c>
      <c r="F448" s="17" t="s">
        <v>23</v>
      </c>
      <c r="G448" s="19" t="s">
        <v>17</v>
      </c>
      <c r="H448" s="18">
        <v>7.5</v>
      </c>
      <c r="I448" s="17" t="s">
        <v>80</v>
      </c>
      <c r="J448" s="17" t="s">
        <v>293</v>
      </c>
      <c r="K448" s="17"/>
      <c r="L448" s="17"/>
      <c r="M448" s="16" t="str">
        <f>HYPERLINK("http://slimages.macys.com/is/image/MCY/19454909 ")</f>
        <v xml:space="preserve">http://slimages.macys.com/is/image/MCY/19454909 </v>
      </c>
      <c r="N448" s="30"/>
    </row>
    <row r="449" spans="1:14" ht="60" x14ac:dyDescent="0.25">
      <c r="A449" s="19" t="s">
        <v>1024</v>
      </c>
      <c r="B449" s="17" t="s">
        <v>1023</v>
      </c>
      <c r="C449" s="20">
        <v>1</v>
      </c>
      <c r="D449" s="18">
        <v>49</v>
      </c>
      <c r="E449" s="20">
        <v>2331002</v>
      </c>
      <c r="F449" s="17" t="s">
        <v>1022</v>
      </c>
      <c r="G449" s="19" t="s">
        <v>22</v>
      </c>
      <c r="H449" s="18">
        <v>7.5</v>
      </c>
      <c r="I449" s="17" t="s">
        <v>80</v>
      </c>
      <c r="J449" s="17" t="s">
        <v>293</v>
      </c>
      <c r="K449" s="17"/>
      <c r="L449" s="17"/>
      <c r="M449" s="16" t="str">
        <f>HYPERLINK("http://slimages.macys.com/is/image/MCY/19258069 ")</f>
        <v xml:space="preserve">http://slimages.macys.com/is/image/MCY/19258069 </v>
      </c>
      <c r="N449" s="30"/>
    </row>
    <row r="450" spans="1:14" ht="60" x14ac:dyDescent="0.25">
      <c r="A450" s="19" t="s">
        <v>8075</v>
      </c>
      <c r="B450" s="17" t="s">
        <v>8074</v>
      </c>
      <c r="C450" s="20">
        <v>1</v>
      </c>
      <c r="D450" s="18">
        <v>49</v>
      </c>
      <c r="E450" s="20">
        <v>2331301</v>
      </c>
      <c r="F450" s="17" t="s">
        <v>28</v>
      </c>
      <c r="G450" s="19" t="s">
        <v>101</v>
      </c>
      <c r="H450" s="18">
        <v>7.5</v>
      </c>
      <c r="I450" s="17" t="s">
        <v>80</v>
      </c>
      <c r="J450" s="17" t="s">
        <v>293</v>
      </c>
      <c r="K450" s="17"/>
      <c r="L450" s="17"/>
      <c r="M450" s="16" t="str">
        <f>HYPERLINK("http://slimages.macys.com/is/image/MCY/19223516 ")</f>
        <v xml:space="preserve">http://slimages.macys.com/is/image/MCY/19223516 </v>
      </c>
      <c r="N450" s="30"/>
    </row>
    <row r="451" spans="1:14" ht="60" x14ac:dyDescent="0.25">
      <c r="A451" s="19" t="s">
        <v>9196</v>
      </c>
      <c r="B451" s="17" t="s">
        <v>9195</v>
      </c>
      <c r="C451" s="20">
        <v>2</v>
      </c>
      <c r="D451" s="18">
        <v>49</v>
      </c>
      <c r="E451" s="20">
        <v>2331301</v>
      </c>
      <c r="F451" s="17" t="s">
        <v>91</v>
      </c>
      <c r="G451" s="19" t="s">
        <v>62</v>
      </c>
      <c r="H451" s="18">
        <v>7.5</v>
      </c>
      <c r="I451" s="17" t="s">
        <v>80</v>
      </c>
      <c r="J451" s="17" t="s">
        <v>293</v>
      </c>
      <c r="K451" s="17"/>
      <c r="L451" s="17"/>
      <c r="M451" s="16" t="str">
        <f>HYPERLINK("http://slimages.macys.com/is/image/MCY/19223403 ")</f>
        <v xml:space="preserve">http://slimages.macys.com/is/image/MCY/19223403 </v>
      </c>
      <c r="N451" s="30"/>
    </row>
    <row r="452" spans="1:14" ht="60" x14ac:dyDescent="0.25">
      <c r="A452" s="19" t="s">
        <v>9194</v>
      </c>
      <c r="B452" s="17" t="s">
        <v>9193</v>
      </c>
      <c r="C452" s="20">
        <v>1</v>
      </c>
      <c r="D452" s="18">
        <v>49</v>
      </c>
      <c r="E452" s="20">
        <v>2331301</v>
      </c>
      <c r="F452" s="17" t="s">
        <v>1022</v>
      </c>
      <c r="G452" s="19" t="s">
        <v>313</v>
      </c>
      <c r="H452" s="18">
        <v>7.5</v>
      </c>
      <c r="I452" s="17" t="s">
        <v>80</v>
      </c>
      <c r="J452" s="17" t="s">
        <v>293</v>
      </c>
      <c r="K452" s="17"/>
      <c r="L452" s="17"/>
      <c r="M452" s="16" t="str">
        <f>HYPERLINK("http://slimages.macys.com/is/image/MCY/19223403 ")</f>
        <v xml:space="preserve">http://slimages.macys.com/is/image/MCY/19223403 </v>
      </c>
      <c r="N452" s="30"/>
    </row>
    <row r="453" spans="1:14" ht="60" x14ac:dyDescent="0.25">
      <c r="A453" s="19" t="s">
        <v>8073</v>
      </c>
      <c r="B453" s="17" t="s">
        <v>8072</v>
      </c>
      <c r="C453" s="20">
        <v>1</v>
      </c>
      <c r="D453" s="18">
        <v>49</v>
      </c>
      <c r="E453" s="20">
        <v>2331301</v>
      </c>
      <c r="F453" s="17" t="s">
        <v>1022</v>
      </c>
      <c r="G453" s="19" t="s">
        <v>17</v>
      </c>
      <c r="H453" s="18">
        <v>7.5</v>
      </c>
      <c r="I453" s="17" t="s">
        <v>80</v>
      </c>
      <c r="J453" s="17" t="s">
        <v>293</v>
      </c>
      <c r="K453" s="17"/>
      <c r="L453" s="17"/>
      <c r="M453" s="16" t="str">
        <f>HYPERLINK("http://slimages.macys.com/is/image/MCY/19223516 ")</f>
        <v xml:space="preserve">http://slimages.macys.com/is/image/MCY/19223516 </v>
      </c>
      <c r="N453" s="30"/>
    </row>
    <row r="454" spans="1:14" ht="60" x14ac:dyDescent="0.25">
      <c r="A454" s="19" t="s">
        <v>8071</v>
      </c>
      <c r="B454" s="17" t="s">
        <v>8070</v>
      </c>
      <c r="C454" s="20">
        <v>2</v>
      </c>
      <c r="D454" s="18">
        <v>49</v>
      </c>
      <c r="E454" s="20">
        <v>2331301</v>
      </c>
      <c r="F454" s="17" t="s">
        <v>23</v>
      </c>
      <c r="G454" s="19" t="s">
        <v>62</v>
      </c>
      <c r="H454" s="18">
        <v>7.5</v>
      </c>
      <c r="I454" s="17" t="s">
        <v>80</v>
      </c>
      <c r="J454" s="17" t="s">
        <v>293</v>
      </c>
      <c r="K454" s="17"/>
      <c r="L454" s="17"/>
      <c r="M454" s="16" t="str">
        <f>HYPERLINK("http://slimages.macys.com/is/image/MCY/19226269 ")</f>
        <v xml:space="preserve">http://slimages.macys.com/is/image/MCY/19226269 </v>
      </c>
      <c r="N454" s="30"/>
    </row>
    <row r="455" spans="1:14" ht="60" x14ac:dyDescent="0.25">
      <c r="A455" s="19" t="s">
        <v>8089</v>
      </c>
      <c r="B455" s="17" t="s">
        <v>8088</v>
      </c>
      <c r="C455" s="20">
        <v>2</v>
      </c>
      <c r="D455" s="18">
        <v>49</v>
      </c>
      <c r="E455" s="20">
        <v>2331035</v>
      </c>
      <c r="F455" s="17" t="s">
        <v>63</v>
      </c>
      <c r="G455" s="19" t="s">
        <v>22</v>
      </c>
      <c r="H455" s="18">
        <v>7.5</v>
      </c>
      <c r="I455" s="17" t="s">
        <v>80</v>
      </c>
      <c r="J455" s="17" t="s">
        <v>293</v>
      </c>
      <c r="K455" s="17"/>
      <c r="L455" s="17"/>
      <c r="M455" s="16" t="str">
        <f>HYPERLINK("http://slimages.macys.com/is/image/MCY/19455178 ")</f>
        <v xml:space="preserve">http://slimages.macys.com/is/image/MCY/19455178 </v>
      </c>
      <c r="N455" s="30"/>
    </row>
    <row r="456" spans="1:14" ht="60" x14ac:dyDescent="0.25">
      <c r="A456" s="19" t="s">
        <v>8087</v>
      </c>
      <c r="B456" s="17" t="s">
        <v>8086</v>
      </c>
      <c r="C456" s="20">
        <v>2</v>
      </c>
      <c r="D456" s="18">
        <v>49</v>
      </c>
      <c r="E456" s="20">
        <v>2331301</v>
      </c>
      <c r="F456" s="17" t="s">
        <v>23</v>
      </c>
      <c r="G456" s="19" t="s">
        <v>50</v>
      </c>
      <c r="H456" s="18">
        <v>7.5</v>
      </c>
      <c r="I456" s="17" t="s">
        <v>80</v>
      </c>
      <c r="J456" s="17" t="s">
        <v>293</v>
      </c>
      <c r="K456" s="17"/>
      <c r="L456" s="17"/>
      <c r="M456" s="16" t="str">
        <f>HYPERLINK("http://slimages.macys.com/is/image/MCY/19226269 ")</f>
        <v xml:space="preserve">http://slimages.macys.com/is/image/MCY/19226269 </v>
      </c>
      <c r="N456" s="30"/>
    </row>
    <row r="457" spans="1:14" ht="60" x14ac:dyDescent="0.25">
      <c r="A457" s="19" t="s">
        <v>9192</v>
      </c>
      <c r="B457" s="17" t="s">
        <v>9191</v>
      </c>
      <c r="C457" s="20">
        <v>1</v>
      </c>
      <c r="D457" s="18">
        <v>39.5</v>
      </c>
      <c r="E457" s="20" t="s">
        <v>995</v>
      </c>
      <c r="F457" s="17" t="s">
        <v>23</v>
      </c>
      <c r="G457" s="19" t="s">
        <v>69</v>
      </c>
      <c r="H457" s="18">
        <v>7.4400000000000013</v>
      </c>
      <c r="I457" s="17" t="s">
        <v>56</v>
      </c>
      <c r="J457" s="17" t="s">
        <v>55</v>
      </c>
      <c r="K457" s="17"/>
      <c r="L457" s="17"/>
      <c r="M457" s="16" t="str">
        <f>HYPERLINK("http://slimages.macys.com/is/image/MCY/19021414 ")</f>
        <v xml:space="preserve">http://slimages.macys.com/is/image/MCY/19021414 </v>
      </c>
      <c r="N457" s="30"/>
    </row>
    <row r="458" spans="1:14" ht="60" x14ac:dyDescent="0.25">
      <c r="A458" s="19" t="s">
        <v>1733</v>
      </c>
      <c r="B458" s="17" t="s">
        <v>1732</v>
      </c>
      <c r="C458" s="20">
        <v>1</v>
      </c>
      <c r="D458" s="18">
        <v>39.5</v>
      </c>
      <c r="E458" s="20" t="s">
        <v>1731</v>
      </c>
      <c r="F458" s="17" t="s">
        <v>23</v>
      </c>
      <c r="G458" s="19" t="s">
        <v>74</v>
      </c>
      <c r="H458" s="18">
        <v>7.4400000000000013</v>
      </c>
      <c r="I458" s="17" t="s">
        <v>56</v>
      </c>
      <c r="J458" s="17" t="s">
        <v>55</v>
      </c>
      <c r="K458" s="17"/>
      <c r="L458" s="17"/>
      <c r="M458" s="16" t="str">
        <f>HYPERLINK("http://slimages.macys.com/is/image/MCY/18372028 ")</f>
        <v xml:space="preserve">http://slimages.macys.com/is/image/MCY/18372028 </v>
      </c>
      <c r="N458" s="30"/>
    </row>
    <row r="459" spans="1:14" ht="60" x14ac:dyDescent="0.25">
      <c r="A459" s="19" t="s">
        <v>999</v>
      </c>
      <c r="B459" s="17" t="s">
        <v>998</v>
      </c>
      <c r="C459" s="20">
        <v>1</v>
      </c>
      <c r="D459" s="18">
        <v>39.5</v>
      </c>
      <c r="E459" s="20" t="s">
        <v>213</v>
      </c>
      <c r="F459" s="17" t="s">
        <v>23</v>
      </c>
      <c r="G459" s="19" t="s">
        <v>69</v>
      </c>
      <c r="H459" s="18">
        <v>7.4400000000000013</v>
      </c>
      <c r="I459" s="17" t="s">
        <v>56</v>
      </c>
      <c r="J459" s="17" t="s">
        <v>55</v>
      </c>
      <c r="K459" s="17"/>
      <c r="L459" s="17"/>
      <c r="M459" s="16" t="str">
        <f>HYPERLINK("http://slimages.macys.com/is/image/MCY/19179536 ")</f>
        <v xml:space="preserve">http://slimages.macys.com/is/image/MCY/19179536 </v>
      </c>
      <c r="N459" s="30"/>
    </row>
    <row r="460" spans="1:14" ht="60" x14ac:dyDescent="0.25">
      <c r="A460" s="19" t="s">
        <v>1014</v>
      </c>
      <c r="B460" s="17" t="s">
        <v>1013</v>
      </c>
      <c r="C460" s="20">
        <v>2</v>
      </c>
      <c r="D460" s="18">
        <v>39.5</v>
      </c>
      <c r="E460" s="20" t="s">
        <v>213</v>
      </c>
      <c r="F460" s="17" t="s">
        <v>23</v>
      </c>
      <c r="G460" s="19" t="s">
        <v>62</v>
      </c>
      <c r="H460" s="18">
        <v>7.4400000000000013</v>
      </c>
      <c r="I460" s="17" t="s">
        <v>56</v>
      </c>
      <c r="J460" s="17" t="s">
        <v>55</v>
      </c>
      <c r="K460" s="17"/>
      <c r="L460" s="17"/>
      <c r="M460" s="16" t="str">
        <f>HYPERLINK("http://slimages.macys.com/is/image/MCY/19179536 ")</f>
        <v xml:space="preserve">http://slimages.macys.com/is/image/MCY/19179536 </v>
      </c>
      <c r="N460" s="30"/>
    </row>
    <row r="461" spans="1:14" ht="60" x14ac:dyDescent="0.25">
      <c r="A461" s="19" t="s">
        <v>9190</v>
      </c>
      <c r="B461" s="17" t="s">
        <v>9189</v>
      </c>
      <c r="C461" s="20">
        <v>1</v>
      </c>
      <c r="D461" s="18">
        <v>39.5</v>
      </c>
      <c r="E461" s="20" t="s">
        <v>5514</v>
      </c>
      <c r="F461" s="17" t="s">
        <v>58</v>
      </c>
      <c r="G461" s="19" t="s">
        <v>27</v>
      </c>
      <c r="H461" s="18">
        <v>7.4400000000000013</v>
      </c>
      <c r="I461" s="17" t="s">
        <v>56</v>
      </c>
      <c r="J461" s="17" t="s">
        <v>55</v>
      </c>
      <c r="K461" s="17"/>
      <c r="L461" s="17"/>
      <c r="M461" s="16" t="str">
        <f>HYPERLINK("http://slimages.macys.com/is/image/MCY/18915734 ")</f>
        <v xml:space="preserve">http://slimages.macys.com/is/image/MCY/18915734 </v>
      </c>
      <c r="N461" s="30"/>
    </row>
    <row r="462" spans="1:14" ht="60" x14ac:dyDescent="0.25">
      <c r="A462" s="19" t="s">
        <v>9188</v>
      </c>
      <c r="B462" s="17" t="s">
        <v>9187</v>
      </c>
      <c r="C462" s="20">
        <v>2</v>
      </c>
      <c r="D462" s="18">
        <v>39.5</v>
      </c>
      <c r="E462" s="20" t="s">
        <v>995</v>
      </c>
      <c r="F462" s="17" t="s">
        <v>63</v>
      </c>
      <c r="G462" s="19" t="s">
        <v>57</v>
      </c>
      <c r="H462" s="18">
        <v>7.4400000000000013</v>
      </c>
      <c r="I462" s="17" t="s">
        <v>56</v>
      </c>
      <c r="J462" s="17" t="s">
        <v>55</v>
      </c>
      <c r="K462" s="17"/>
      <c r="L462" s="17"/>
      <c r="M462" s="16" t="str">
        <f>HYPERLINK("http://slimages.macys.com/is/image/MCY/19021414 ")</f>
        <v xml:space="preserve">http://slimages.macys.com/is/image/MCY/19021414 </v>
      </c>
      <c r="N462" s="30"/>
    </row>
    <row r="463" spans="1:14" ht="60" x14ac:dyDescent="0.25">
      <c r="A463" s="19" t="s">
        <v>9186</v>
      </c>
      <c r="B463" s="17" t="s">
        <v>9185</v>
      </c>
      <c r="C463" s="20">
        <v>1</v>
      </c>
      <c r="D463" s="18">
        <v>39.5</v>
      </c>
      <c r="E463" s="20" t="s">
        <v>9184</v>
      </c>
      <c r="F463" s="17" t="s">
        <v>63</v>
      </c>
      <c r="G463" s="19" t="s">
        <v>69</v>
      </c>
      <c r="H463" s="18">
        <v>7.4400000000000013</v>
      </c>
      <c r="I463" s="17" t="s">
        <v>56</v>
      </c>
      <c r="J463" s="17" t="s">
        <v>55</v>
      </c>
      <c r="K463" s="17"/>
      <c r="L463" s="17"/>
      <c r="M463" s="16" t="str">
        <f>HYPERLINK("http://slimages.macys.com/is/image/MCY/19306476 ")</f>
        <v xml:space="preserve">http://slimages.macys.com/is/image/MCY/19306476 </v>
      </c>
      <c r="N463" s="30"/>
    </row>
    <row r="464" spans="1:14" ht="60" x14ac:dyDescent="0.25">
      <c r="A464" s="19" t="s">
        <v>9183</v>
      </c>
      <c r="B464" s="17" t="s">
        <v>9182</v>
      </c>
      <c r="C464" s="20">
        <v>1</v>
      </c>
      <c r="D464" s="18">
        <v>39.5</v>
      </c>
      <c r="E464" s="20" t="s">
        <v>995</v>
      </c>
      <c r="F464" s="17" t="s">
        <v>206</v>
      </c>
      <c r="G464" s="19" t="s">
        <v>197</v>
      </c>
      <c r="H464" s="18">
        <v>7.4400000000000013</v>
      </c>
      <c r="I464" s="17" t="s">
        <v>56</v>
      </c>
      <c r="J464" s="17" t="s">
        <v>55</v>
      </c>
      <c r="K464" s="17"/>
      <c r="L464" s="17"/>
      <c r="M464" s="16" t="str">
        <f>HYPERLINK("http://slimages.macys.com/is/image/MCY/19021414 ")</f>
        <v xml:space="preserve">http://slimages.macys.com/is/image/MCY/19021414 </v>
      </c>
      <c r="N464" s="30"/>
    </row>
    <row r="465" spans="1:14" ht="60" x14ac:dyDescent="0.25">
      <c r="A465" s="19" t="s">
        <v>1012</v>
      </c>
      <c r="B465" s="17" t="s">
        <v>1011</v>
      </c>
      <c r="C465" s="20">
        <v>2</v>
      </c>
      <c r="D465" s="18">
        <v>39.5</v>
      </c>
      <c r="E465" s="20" t="s">
        <v>213</v>
      </c>
      <c r="F465" s="17" t="s">
        <v>23</v>
      </c>
      <c r="G465" s="19" t="s">
        <v>197</v>
      </c>
      <c r="H465" s="18">
        <v>7.4400000000000013</v>
      </c>
      <c r="I465" s="17" t="s">
        <v>56</v>
      </c>
      <c r="J465" s="17" t="s">
        <v>55</v>
      </c>
      <c r="K465" s="17"/>
      <c r="L465" s="17"/>
      <c r="M465" s="16" t="str">
        <f>HYPERLINK("http://slimages.macys.com/is/image/MCY/19179536 ")</f>
        <v xml:space="preserve">http://slimages.macys.com/is/image/MCY/19179536 </v>
      </c>
      <c r="N465" s="30"/>
    </row>
    <row r="466" spans="1:14" ht="60" x14ac:dyDescent="0.25">
      <c r="A466" s="19" t="s">
        <v>9181</v>
      </c>
      <c r="B466" s="17" t="s">
        <v>9180</v>
      </c>
      <c r="C466" s="20">
        <v>1</v>
      </c>
      <c r="D466" s="18">
        <v>39.5</v>
      </c>
      <c r="E466" s="20" t="s">
        <v>8046</v>
      </c>
      <c r="F466" s="17" t="s">
        <v>91</v>
      </c>
      <c r="G466" s="19" t="s">
        <v>69</v>
      </c>
      <c r="H466" s="18">
        <v>7.4400000000000013</v>
      </c>
      <c r="I466" s="17" t="s">
        <v>68</v>
      </c>
      <c r="J466" s="17" t="s">
        <v>67</v>
      </c>
      <c r="K466" s="17"/>
      <c r="L466" s="17"/>
      <c r="M466" s="16" t="str">
        <f>HYPERLINK("http://slimages.macys.com/is/image/MCY/18963298 ")</f>
        <v xml:space="preserve">http://slimages.macys.com/is/image/MCY/18963298 </v>
      </c>
      <c r="N466" s="30"/>
    </row>
    <row r="467" spans="1:14" ht="60" x14ac:dyDescent="0.25">
      <c r="A467" s="19" t="s">
        <v>9179</v>
      </c>
      <c r="B467" s="17" t="s">
        <v>9178</v>
      </c>
      <c r="C467" s="20">
        <v>1</v>
      </c>
      <c r="D467" s="18">
        <v>39.5</v>
      </c>
      <c r="E467" s="20" t="s">
        <v>8046</v>
      </c>
      <c r="F467" s="17" t="s">
        <v>23</v>
      </c>
      <c r="G467" s="19" t="s">
        <v>62</v>
      </c>
      <c r="H467" s="18">
        <v>7.4400000000000013</v>
      </c>
      <c r="I467" s="17" t="s">
        <v>68</v>
      </c>
      <c r="J467" s="17" t="s">
        <v>67</v>
      </c>
      <c r="K467" s="17"/>
      <c r="L467" s="17"/>
      <c r="M467" s="16" t="str">
        <f>HYPERLINK("http://slimages.macys.com/is/image/MCY/18963298 ")</f>
        <v xml:space="preserve">http://slimages.macys.com/is/image/MCY/18963298 </v>
      </c>
      <c r="N467" s="30"/>
    </row>
    <row r="468" spans="1:14" ht="60" x14ac:dyDescent="0.25">
      <c r="A468" s="19" t="s">
        <v>9177</v>
      </c>
      <c r="B468" s="17" t="s">
        <v>9176</v>
      </c>
      <c r="C468" s="20">
        <v>1</v>
      </c>
      <c r="D468" s="18">
        <v>39.5</v>
      </c>
      <c r="E468" s="20" t="s">
        <v>9175</v>
      </c>
      <c r="F468" s="17" t="s">
        <v>35</v>
      </c>
      <c r="G468" s="19" t="s">
        <v>69</v>
      </c>
      <c r="H468" s="18">
        <v>7.4400000000000013</v>
      </c>
      <c r="I468" s="17" t="s">
        <v>68</v>
      </c>
      <c r="J468" s="17" t="s">
        <v>67</v>
      </c>
      <c r="K468" s="17"/>
      <c r="L468" s="17"/>
      <c r="M468" s="16" t="str">
        <f>HYPERLINK("http://slimages.macys.com/is/image/MCY/17667782 ")</f>
        <v xml:space="preserve">http://slimages.macys.com/is/image/MCY/17667782 </v>
      </c>
      <c r="N468" s="30"/>
    </row>
    <row r="469" spans="1:14" ht="60" x14ac:dyDescent="0.25">
      <c r="A469" s="19" t="s">
        <v>9174</v>
      </c>
      <c r="B469" s="17" t="s">
        <v>9173</v>
      </c>
      <c r="C469" s="20">
        <v>1</v>
      </c>
      <c r="D469" s="18">
        <v>31.99</v>
      </c>
      <c r="E469" s="20" t="s">
        <v>6304</v>
      </c>
      <c r="F469" s="17" t="s">
        <v>149</v>
      </c>
      <c r="G469" s="19" t="s">
        <v>197</v>
      </c>
      <c r="H469" s="18">
        <v>7.4400000000000013</v>
      </c>
      <c r="I469" s="17" t="s">
        <v>68</v>
      </c>
      <c r="J469" s="17" t="s">
        <v>67</v>
      </c>
      <c r="K469" s="17" t="s">
        <v>389</v>
      </c>
      <c r="L469" s="17" t="s">
        <v>1804</v>
      </c>
      <c r="M469" s="16" t="str">
        <f>HYPERLINK("http://slimages.macys.com/is/image/MCY/16175132 ")</f>
        <v xml:space="preserve">http://slimages.macys.com/is/image/MCY/16175132 </v>
      </c>
      <c r="N469" s="30"/>
    </row>
    <row r="470" spans="1:14" ht="60" x14ac:dyDescent="0.25">
      <c r="A470" s="19" t="s">
        <v>9172</v>
      </c>
      <c r="B470" s="17" t="s">
        <v>9171</v>
      </c>
      <c r="C470" s="20">
        <v>1</v>
      </c>
      <c r="D470" s="18">
        <v>59</v>
      </c>
      <c r="E470" s="20" t="s">
        <v>1710</v>
      </c>
      <c r="F470" s="17" t="s">
        <v>51</v>
      </c>
      <c r="G470" s="19" t="s">
        <v>139</v>
      </c>
      <c r="H470" s="18">
        <v>7.3333333333333339</v>
      </c>
      <c r="I470" s="17" t="s">
        <v>550</v>
      </c>
      <c r="J470" s="17" t="s">
        <v>1448</v>
      </c>
      <c r="K470" s="17"/>
      <c r="L470" s="17"/>
      <c r="M470" s="16" t="str">
        <f>HYPERLINK("http://slimages.macys.com/is/image/MCY/18373541 ")</f>
        <v xml:space="preserve">http://slimages.macys.com/is/image/MCY/18373541 </v>
      </c>
      <c r="N470" s="30"/>
    </row>
    <row r="471" spans="1:14" ht="60" x14ac:dyDescent="0.25">
      <c r="A471" s="19" t="s">
        <v>6296</v>
      </c>
      <c r="B471" s="17" t="s">
        <v>6295</v>
      </c>
      <c r="C471" s="20">
        <v>1</v>
      </c>
      <c r="D471" s="18">
        <v>44</v>
      </c>
      <c r="E471" s="20">
        <v>7021624</v>
      </c>
      <c r="F471" s="17" t="s">
        <v>91</v>
      </c>
      <c r="G471" s="19" t="s">
        <v>22</v>
      </c>
      <c r="H471" s="18">
        <v>7.3333333333333339</v>
      </c>
      <c r="I471" s="17" t="s">
        <v>111</v>
      </c>
      <c r="J471" s="17" t="s">
        <v>110</v>
      </c>
      <c r="K471" s="17"/>
      <c r="L471" s="17"/>
      <c r="M471" s="16" t="str">
        <f>HYPERLINK("http://slimages.macys.com/is/image/MCY/18742229 ")</f>
        <v xml:space="preserve">http://slimages.macys.com/is/image/MCY/18742229 </v>
      </c>
      <c r="N471" s="30"/>
    </row>
    <row r="472" spans="1:14" ht="60" x14ac:dyDescent="0.25">
      <c r="A472" s="19" t="s">
        <v>9170</v>
      </c>
      <c r="B472" s="17" t="s">
        <v>9169</v>
      </c>
      <c r="C472" s="20">
        <v>1</v>
      </c>
      <c r="D472" s="18">
        <v>59</v>
      </c>
      <c r="E472" s="20" t="s">
        <v>4918</v>
      </c>
      <c r="F472" s="17" t="s">
        <v>51</v>
      </c>
      <c r="G472" s="19" t="s">
        <v>139</v>
      </c>
      <c r="H472" s="18">
        <v>7.3333333333333339</v>
      </c>
      <c r="I472" s="17" t="s">
        <v>550</v>
      </c>
      <c r="J472" s="17" t="s">
        <v>1448</v>
      </c>
      <c r="K472" s="17"/>
      <c r="L472" s="17"/>
      <c r="M472" s="16" t="str">
        <f>HYPERLINK("http://slimages.macys.com/is/image/MCY/18373595 ")</f>
        <v xml:space="preserve">http://slimages.macys.com/is/image/MCY/18373595 </v>
      </c>
      <c r="N472" s="30"/>
    </row>
    <row r="473" spans="1:14" ht="60" x14ac:dyDescent="0.25">
      <c r="A473" s="19" t="s">
        <v>7088</v>
      </c>
      <c r="B473" s="17" t="s">
        <v>7087</v>
      </c>
      <c r="C473" s="20">
        <v>2</v>
      </c>
      <c r="D473" s="18">
        <v>49</v>
      </c>
      <c r="E473" s="20">
        <v>2321617</v>
      </c>
      <c r="F473" s="17" t="s">
        <v>70</v>
      </c>
      <c r="G473" s="19" t="s">
        <v>17</v>
      </c>
      <c r="H473" s="18">
        <v>7.3333333333333339</v>
      </c>
      <c r="I473" s="17" t="s">
        <v>80</v>
      </c>
      <c r="J473" s="17" t="s">
        <v>293</v>
      </c>
      <c r="K473" s="17"/>
      <c r="L473" s="17"/>
      <c r="M473" s="16" t="str">
        <f>HYPERLINK("http://slimages.macys.com/is/image/MCY/18749019 ")</f>
        <v xml:space="preserve">http://slimages.macys.com/is/image/MCY/18749019 </v>
      </c>
      <c r="N473" s="30"/>
    </row>
    <row r="474" spans="1:14" ht="60" x14ac:dyDescent="0.25">
      <c r="A474" s="19" t="s">
        <v>9168</v>
      </c>
      <c r="B474" s="17" t="s">
        <v>9167</v>
      </c>
      <c r="C474" s="20">
        <v>1</v>
      </c>
      <c r="D474" s="18">
        <v>44</v>
      </c>
      <c r="E474" s="20">
        <v>30106928</v>
      </c>
      <c r="F474" s="17" t="s">
        <v>330</v>
      </c>
      <c r="G474" s="19" t="s">
        <v>96</v>
      </c>
      <c r="H474" s="18">
        <v>7.3333333333333339</v>
      </c>
      <c r="I474" s="17" t="s">
        <v>1777</v>
      </c>
      <c r="J474" s="17" t="s">
        <v>1776</v>
      </c>
      <c r="K474" s="17"/>
      <c r="L474" s="17"/>
      <c r="M474" s="16" t="str">
        <f>HYPERLINK("http://slimages.macys.com/is/image/MCY/17529421 ")</f>
        <v xml:space="preserve">http://slimages.macys.com/is/image/MCY/17529421 </v>
      </c>
      <c r="N474" s="30"/>
    </row>
    <row r="475" spans="1:14" ht="60" x14ac:dyDescent="0.25">
      <c r="A475" s="19" t="s">
        <v>9166</v>
      </c>
      <c r="B475" s="17" t="s">
        <v>9165</v>
      </c>
      <c r="C475" s="20">
        <v>1</v>
      </c>
      <c r="D475" s="18">
        <v>40</v>
      </c>
      <c r="E475" s="20">
        <v>30136587</v>
      </c>
      <c r="F475" s="17" t="s">
        <v>91</v>
      </c>
      <c r="G475" s="19" t="s">
        <v>96</v>
      </c>
      <c r="H475" s="18">
        <v>7.2000000000000011</v>
      </c>
      <c r="I475" s="17" t="s">
        <v>1777</v>
      </c>
      <c r="J475" s="17" t="s">
        <v>1776</v>
      </c>
      <c r="K475" s="17"/>
      <c r="L475" s="17"/>
      <c r="M475" s="16" t="str">
        <f>HYPERLINK("http://slimages.macys.com/is/image/MCY/17427009 ")</f>
        <v xml:space="preserve">http://slimages.macys.com/is/image/MCY/17427009 </v>
      </c>
      <c r="N475" s="30"/>
    </row>
    <row r="476" spans="1:14" ht="60" x14ac:dyDescent="0.25">
      <c r="A476" s="19" t="s">
        <v>9164</v>
      </c>
      <c r="B476" s="17" t="s">
        <v>9163</v>
      </c>
      <c r="C476" s="20">
        <v>1</v>
      </c>
      <c r="D476" s="18">
        <v>40</v>
      </c>
      <c r="E476" s="20">
        <v>30136587</v>
      </c>
      <c r="F476" s="17" t="s">
        <v>75</v>
      </c>
      <c r="G476" s="19" t="s">
        <v>658</v>
      </c>
      <c r="H476" s="18">
        <v>7.2000000000000011</v>
      </c>
      <c r="I476" s="17" t="s">
        <v>1777</v>
      </c>
      <c r="J476" s="17" t="s">
        <v>1776</v>
      </c>
      <c r="K476" s="17"/>
      <c r="L476" s="17"/>
      <c r="M476" s="16" t="str">
        <f>HYPERLINK("http://slimages.macys.com/is/image/MCY/17427017 ")</f>
        <v xml:space="preserve">http://slimages.macys.com/is/image/MCY/17427017 </v>
      </c>
      <c r="N476" s="30"/>
    </row>
    <row r="477" spans="1:14" ht="60" x14ac:dyDescent="0.25">
      <c r="A477" s="19" t="s">
        <v>9162</v>
      </c>
      <c r="B477" s="17" t="s">
        <v>9161</v>
      </c>
      <c r="C477" s="20">
        <v>1</v>
      </c>
      <c r="D477" s="18">
        <v>40</v>
      </c>
      <c r="E477" s="20">
        <v>30136587</v>
      </c>
      <c r="F477" s="17" t="s">
        <v>91</v>
      </c>
      <c r="G477" s="19" t="s">
        <v>698</v>
      </c>
      <c r="H477" s="18">
        <v>7.2000000000000011</v>
      </c>
      <c r="I477" s="17" t="s">
        <v>1777</v>
      </c>
      <c r="J477" s="17" t="s">
        <v>1776</v>
      </c>
      <c r="K477" s="17"/>
      <c r="L477" s="17"/>
      <c r="M477" s="16" t="str">
        <f>HYPERLINK("http://slimages.macys.com/is/image/MCY/17427017 ")</f>
        <v xml:space="preserve">http://slimages.macys.com/is/image/MCY/17427017 </v>
      </c>
      <c r="N477" s="30"/>
    </row>
    <row r="478" spans="1:14" ht="60" x14ac:dyDescent="0.25">
      <c r="A478" s="19" t="s">
        <v>9160</v>
      </c>
      <c r="B478" s="17" t="s">
        <v>9159</v>
      </c>
      <c r="C478" s="20">
        <v>1</v>
      </c>
      <c r="D478" s="18">
        <v>27.3</v>
      </c>
      <c r="E478" s="20" t="s">
        <v>9154</v>
      </c>
      <c r="F478" s="17" t="s">
        <v>58</v>
      </c>
      <c r="G478" s="19" t="s">
        <v>197</v>
      </c>
      <c r="H478" s="18">
        <v>7.120000000000001</v>
      </c>
      <c r="I478" s="17" t="s">
        <v>42</v>
      </c>
      <c r="J478" s="17" t="s">
        <v>41</v>
      </c>
      <c r="K478" s="17"/>
      <c r="L478" s="17"/>
      <c r="M478" s="16" t="str">
        <f>HYPERLINK("http://slimages.macys.com/is/image/MCY/18903991 ")</f>
        <v xml:space="preserve">http://slimages.macys.com/is/image/MCY/18903991 </v>
      </c>
      <c r="N478" s="30"/>
    </row>
    <row r="479" spans="1:14" ht="60" x14ac:dyDescent="0.25">
      <c r="A479" s="19" t="s">
        <v>9158</v>
      </c>
      <c r="B479" s="17" t="s">
        <v>9157</v>
      </c>
      <c r="C479" s="20">
        <v>1</v>
      </c>
      <c r="D479" s="18">
        <v>27.3</v>
      </c>
      <c r="E479" s="20" t="s">
        <v>2503</v>
      </c>
      <c r="F479" s="17" t="s">
        <v>58</v>
      </c>
      <c r="G479" s="19" t="s">
        <v>197</v>
      </c>
      <c r="H479" s="18">
        <v>7.120000000000001</v>
      </c>
      <c r="I479" s="17" t="s">
        <v>42</v>
      </c>
      <c r="J479" s="17" t="s">
        <v>41</v>
      </c>
      <c r="K479" s="17"/>
      <c r="L479" s="17"/>
      <c r="M479" s="16" t="str">
        <f>HYPERLINK("http://slimages.macys.com/is/image/MCY/15716460 ")</f>
        <v xml:space="preserve">http://slimages.macys.com/is/image/MCY/15716460 </v>
      </c>
      <c r="N479" s="30"/>
    </row>
    <row r="480" spans="1:14" ht="60" x14ac:dyDescent="0.25">
      <c r="A480" s="19" t="s">
        <v>7081</v>
      </c>
      <c r="B480" s="17" t="s">
        <v>7080</v>
      </c>
      <c r="C480" s="20">
        <v>1</v>
      </c>
      <c r="D480" s="18">
        <v>27.3</v>
      </c>
      <c r="E480" s="20" t="s">
        <v>191</v>
      </c>
      <c r="F480" s="17" t="s">
        <v>23</v>
      </c>
      <c r="G480" s="19" t="s">
        <v>74</v>
      </c>
      <c r="H480" s="18">
        <v>7.120000000000001</v>
      </c>
      <c r="I480" s="17" t="s">
        <v>42</v>
      </c>
      <c r="J480" s="17" t="s">
        <v>41</v>
      </c>
      <c r="K480" s="17"/>
      <c r="L480" s="17"/>
      <c r="M480" s="16" t="str">
        <f>HYPERLINK("http://slimages.macys.com/is/image/MCY/18757221 ")</f>
        <v xml:space="preserve">http://slimages.macys.com/is/image/MCY/18757221 </v>
      </c>
      <c r="N480" s="30"/>
    </row>
    <row r="481" spans="1:14" ht="60" x14ac:dyDescent="0.25">
      <c r="A481" s="19" t="s">
        <v>9156</v>
      </c>
      <c r="B481" s="17" t="s">
        <v>9155</v>
      </c>
      <c r="C481" s="20">
        <v>1</v>
      </c>
      <c r="D481" s="18">
        <v>27.3</v>
      </c>
      <c r="E481" s="20" t="s">
        <v>9154</v>
      </c>
      <c r="F481" s="17" t="s">
        <v>206</v>
      </c>
      <c r="G481" s="19" t="s">
        <v>197</v>
      </c>
      <c r="H481" s="18">
        <v>7.120000000000001</v>
      </c>
      <c r="I481" s="17" t="s">
        <v>42</v>
      </c>
      <c r="J481" s="17" t="s">
        <v>41</v>
      </c>
      <c r="K481" s="17"/>
      <c r="L481" s="17"/>
      <c r="M481" s="16" t="str">
        <f>HYPERLINK("http://slimages.macys.com/is/image/MCY/18903991 ")</f>
        <v xml:space="preserve">http://slimages.macys.com/is/image/MCY/18903991 </v>
      </c>
      <c r="N481" s="30"/>
    </row>
    <row r="482" spans="1:14" ht="60" x14ac:dyDescent="0.25">
      <c r="A482" s="19" t="s">
        <v>9153</v>
      </c>
      <c r="B482" s="17" t="s">
        <v>9152</v>
      </c>
      <c r="C482" s="20">
        <v>1</v>
      </c>
      <c r="D482" s="18">
        <v>30</v>
      </c>
      <c r="E482" s="20" t="s">
        <v>7072</v>
      </c>
      <c r="F482" s="17" t="s">
        <v>1526</v>
      </c>
      <c r="G482" s="19" t="s">
        <v>62</v>
      </c>
      <c r="H482" s="18">
        <v>6.9866666666666672</v>
      </c>
      <c r="I482" s="17" t="s">
        <v>16</v>
      </c>
      <c r="J482" s="17" t="s">
        <v>15</v>
      </c>
      <c r="K482" s="17"/>
      <c r="L482" s="17"/>
      <c r="M482" s="16" t="str">
        <f>HYPERLINK("http://slimages.macys.com/is/image/MCY/19546456 ")</f>
        <v xml:space="preserve">http://slimages.macys.com/is/image/MCY/19546456 </v>
      </c>
      <c r="N482" s="30"/>
    </row>
    <row r="483" spans="1:14" ht="60" x14ac:dyDescent="0.25">
      <c r="A483" s="19" t="s">
        <v>9151</v>
      </c>
      <c r="B483" s="17" t="s">
        <v>9150</v>
      </c>
      <c r="C483" s="20">
        <v>1</v>
      </c>
      <c r="D483" s="18">
        <v>39</v>
      </c>
      <c r="E483" s="20" t="s">
        <v>9149</v>
      </c>
      <c r="F483" s="17" t="s">
        <v>51</v>
      </c>
      <c r="G483" s="19" t="s">
        <v>57</v>
      </c>
      <c r="H483" s="18">
        <v>6.8666666666666671</v>
      </c>
      <c r="I483" s="17" t="s">
        <v>1700</v>
      </c>
      <c r="J483" s="17" t="s">
        <v>1699</v>
      </c>
      <c r="K483" s="17"/>
      <c r="L483" s="17"/>
      <c r="M483" s="16" t="str">
        <f>HYPERLINK("http://slimages.macys.com/is/image/MCY/18547929 ")</f>
        <v xml:space="preserve">http://slimages.macys.com/is/image/MCY/18547929 </v>
      </c>
      <c r="N483" s="30"/>
    </row>
    <row r="484" spans="1:14" ht="60" x14ac:dyDescent="0.25">
      <c r="A484" s="19" t="s">
        <v>9148</v>
      </c>
      <c r="B484" s="17" t="s">
        <v>9147</v>
      </c>
      <c r="C484" s="20">
        <v>1</v>
      </c>
      <c r="D484" s="18">
        <v>35</v>
      </c>
      <c r="E484" s="20" t="s">
        <v>9146</v>
      </c>
      <c r="F484" s="17" t="s">
        <v>345</v>
      </c>
      <c r="G484" s="19" t="s">
        <v>57</v>
      </c>
      <c r="H484" s="18">
        <v>6.666666666666667</v>
      </c>
      <c r="I484" s="17" t="s">
        <v>80</v>
      </c>
      <c r="J484" s="17" t="s">
        <v>187</v>
      </c>
      <c r="K484" s="17"/>
      <c r="L484" s="17"/>
      <c r="M484" s="16" t="str">
        <f>HYPERLINK("http://slimages.macys.com/is/image/MCY/18567476 ")</f>
        <v xml:space="preserve">http://slimages.macys.com/is/image/MCY/18567476 </v>
      </c>
      <c r="N484" s="30"/>
    </row>
    <row r="485" spans="1:14" ht="60" x14ac:dyDescent="0.25">
      <c r="A485" s="19" t="s">
        <v>9145</v>
      </c>
      <c r="B485" s="17" t="s">
        <v>9144</v>
      </c>
      <c r="C485" s="20">
        <v>1</v>
      </c>
      <c r="D485" s="18">
        <v>31.99</v>
      </c>
      <c r="E485" s="20" t="s">
        <v>9143</v>
      </c>
      <c r="F485" s="17" t="s">
        <v>91</v>
      </c>
      <c r="G485" s="19" t="s">
        <v>74</v>
      </c>
      <c r="H485" s="18">
        <v>6.5333333333333332</v>
      </c>
      <c r="I485" s="17" t="s">
        <v>68</v>
      </c>
      <c r="J485" s="17" t="s">
        <v>67</v>
      </c>
      <c r="K485" s="17" t="s">
        <v>389</v>
      </c>
      <c r="L485" s="17" t="s">
        <v>3264</v>
      </c>
      <c r="M485" s="16" t="str">
        <f>HYPERLINK("http://slimages.macys.com/is/image/MCY/15606335 ")</f>
        <v xml:space="preserve">http://slimages.macys.com/is/image/MCY/15606335 </v>
      </c>
      <c r="N485" s="30"/>
    </row>
    <row r="486" spans="1:14" ht="60" x14ac:dyDescent="0.25">
      <c r="A486" s="19" t="s">
        <v>9142</v>
      </c>
      <c r="B486" s="17" t="s">
        <v>9141</v>
      </c>
      <c r="C486" s="20">
        <v>1</v>
      </c>
      <c r="D486" s="18">
        <v>38</v>
      </c>
      <c r="E486" s="20" t="s">
        <v>2607</v>
      </c>
      <c r="F486" s="17" t="s">
        <v>1323</v>
      </c>
      <c r="G486" s="19" t="s">
        <v>62</v>
      </c>
      <c r="H486" s="18">
        <v>6.5</v>
      </c>
      <c r="I486" s="17" t="s">
        <v>80</v>
      </c>
      <c r="J486" s="17" t="s">
        <v>79</v>
      </c>
      <c r="K486" s="17"/>
      <c r="L486" s="17"/>
      <c r="M486" s="16" t="str">
        <f>HYPERLINK("http://slimages.macys.com/is/image/MCY/18568110 ")</f>
        <v xml:space="preserve">http://slimages.macys.com/is/image/MCY/18568110 </v>
      </c>
      <c r="N486" s="30"/>
    </row>
    <row r="487" spans="1:14" ht="60" x14ac:dyDescent="0.25">
      <c r="A487" s="19" t="s">
        <v>9140</v>
      </c>
      <c r="B487" s="17" t="s">
        <v>9139</v>
      </c>
      <c r="C487" s="20">
        <v>1</v>
      </c>
      <c r="D487" s="18">
        <v>34.5</v>
      </c>
      <c r="E487" s="20">
        <v>30138469</v>
      </c>
      <c r="F487" s="17" t="s">
        <v>23</v>
      </c>
      <c r="G487" s="19" t="s">
        <v>69</v>
      </c>
      <c r="H487" s="18">
        <v>6.44</v>
      </c>
      <c r="I487" s="17" t="s">
        <v>80</v>
      </c>
      <c r="J487" s="17" t="s">
        <v>513</v>
      </c>
      <c r="K487" s="17"/>
      <c r="L487" s="17"/>
      <c r="M487" s="16" t="str">
        <f>HYPERLINK("http://slimages.macys.com/is/image/MCY/18646704 ")</f>
        <v xml:space="preserve">http://slimages.macys.com/is/image/MCY/18646704 </v>
      </c>
      <c r="N487" s="30"/>
    </row>
    <row r="488" spans="1:14" ht="60" x14ac:dyDescent="0.25">
      <c r="A488" s="19" t="s">
        <v>9138</v>
      </c>
      <c r="B488" s="17" t="s">
        <v>9137</v>
      </c>
      <c r="C488" s="20">
        <v>1</v>
      </c>
      <c r="D488" s="18">
        <v>39</v>
      </c>
      <c r="E488" s="20" t="s">
        <v>1701</v>
      </c>
      <c r="F488" s="17" t="s">
        <v>81</v>
      </c>
      <c r="G488" s="19" t="s">
        <v>62</v>
      </c>
      <c r="H488" s="18">
        <v>6.333333333333333</v>
      </c>
      <c r="I488" s="17" t="s">
        <v>1700</v>
      </c>
      <c r="J488" s="17" t="s">
        <v>1699</v>
      </c>
      <c r="K488" s="17"/>
      <c r="L488" s="17"/>
      <c r="M488" s="16" t="str">
        <f>HYPERLINK("http://slimages.macys.com/is/image/MCY/18863673 ")</f>
        <v xml:space="preserve">http://slimages.macys.com/is/image/MCY/18863673 </v>
      </c>
      <c r="N488" s="30"/>
    </row>
    <row r="489" spans="1:14" ht="60" x14ac:dyDescent="0.25">
      <c r="A489" s="19" t="s">
        <v>9136</v>
      </c>
      <c r="B489" s="17" t="s">
        <v>9135</v>
      </c>
      <c r="C489" s="20">
        <v>1</v>
      </c>
      <c r="D489" s="18">
        <v>25</v>
      </c>
      <c r="E489" s="20" t="s">
        <v>9134</v>
      </c>
      <c r="F489" s="17" t="s">
        <v>413</v>
      </c>
      <c r="G489" s="19" t="s">
        <v>22</v>
      </c>
      <c r="H489" s="18">
        <v>5.8533333333333335</v>
      </c>
      <c r="I489" s="17" t="s">
        <v>16</v>
      </c>
      <c r="J489" s="17" t="s">
        <v>15</v>
      </c>
      <c r="K489" s="17"/>
      <c r="L489" s="17"/>
      <c r="M489" s="16" t="str">
        <f>HYPERLINK("http://slimages.macys.com/is/image/MCY/17958986 ")</f>
        <v xml:space="preserve">http://slimages.macys.com/is/image/MCY/17958986 </v>
      </c>
      <c r="N489" s="30"/>
    </row>
    <row r="490" spans="1:14" ht="60" x14ac:dyDescent="0.25">
      <c r="A490" s="19" t="s">
        <v>9133</v>
      </c>
      <c r="B490" s="17" t="s">
        <v>9132</v>
      </c>
      <c r="C490" s="20">
        <v>1</v>
      </c>
      <c r="D490" s="18">
        <v>25</v>
      </c>
      <c r="E490" s="20" t="s">
        <v>968</v>
      </c>
      <c r="F490" s="17" t="s">
        <v>508</v>
      </c>
      <c r="G490" s="19" t="s">
        <v>101</v>
      </c>
      <c r="H490" s="18">
        <v>5.8533333333333335</v>
      </c>
      <c r="I490" s="17" t="s">
        <v>16</v>
      </c>
      <c r="J490" s="17" t="s">
        <v>15</v>
      </c>
      <c r="K490" s="17"/>
      <c r="L490" s="17"/>
      <c r="M490" s="16" t="str">
        <f>HYPERLINK("http://slimages.macys.com/is/image/MCY/18863498 ")</f>
        <v xml:space="preserve">http://slimages.macys.com/is/image/MCY/18863498 </v>
      </c>
      <c r="N490" s="30"/>
    </row>
    <row r="491" spans="1:14" ht="60" x14ac:dyDescent="0.25">
      <c r="A491" s="19" t="s">
        <v>9131</v>
      </c>
      <c r="B491" s="17" t="s">
        <v>2467</v>
      </c>
      <c r="C491" s="20">
        <v>1</v>
      </c>
      <c r="D491" s="18">
        <v>25</v>
      </c>
      <c r="E491" s="20" t="s">
        <v>975</v>
      </c>
      <c r="F491" s="17" t="s">
        <v>23</v>
      </c>
      <c r="G491" s="19" t="s">
        <v>62</v>
      </c>
      <c r="H491" s="18">
        <v>5.8533333333333335</v>
      </c>
      <c r="I491" s="17" t="s">
        <v>16</v>
      </c>
      <c r="J491" s="17" t="s">
        <v>15</v>
      </c>
      <c r="K491" s="17"/>
      <c r="L491" s="17"/>
      <c r="M491" s="16" t="str">
        <f>HYPERLINK("http://slimages.macys.com/is/image/MCY/18053798 ")</f>
        <v xml:space="preserve">http://slimages.macys.com/is/image/MCY/18053798 </v>
      </c>
      <c r="N491" s="30"/>
    </row>
    <row r="492" spans="1:14" ht="60" x14ac:dyDescent="0.25">
      <c r="A492" s="19" t="s">
        <v>9130</v>
      </c>
      <c r="B492" s="17" t="s">
        <v>9129</v>
      </c>
      <c r="C492" s="20">
        <v>1</v>
      </c>
      <c r="D492" s="18">
        <v>25</v>
      </c>
      <c r="E492" s="20" t="s">
        <v>29</v>
      </c>
      <c r="F492" s="17" t="s">
        <v>149</v>
      </c>
      <c r="G492" s="19" t="s">
        <v>50</v>
      </c>
      <c r="H492" s="18">
        <v>5.8533333333333335</v>
      </c>
      <c r="I492" s="17" t="s">
        <v>16</v>
      </c>
      <c r="J492" s="17" t="s">
        <v>15</v>
      </c>
      <c r="K492" s="17"/>
      <c r="L492" s="17"/>
      <c r="M492" s="16" t="str">
        <f>HYPERLINK("http://slimages.macys.com/is/image/MCY/19060090 ")</f>
        <v xml:space="preserve">http://slimages.macys.com/is/image/MCY/19060090 </v>
      </c>
      <c r="N492" s="30"/>
    </row>
    <row r="493" spans="1:14" ht="60" x14ac:dyDescent="0.25">
      <c r="A493" s="19" t="s">
        <v>970</v>
      </c>
      <c r="B493" s="17" t="s">
        <v>969</v>
      </c>
      <c r="C493" s="20">
        <v>2</v>
      </c>
      <c r="D493" s="18">
        <v>25</v>
      </c>
      <c r="E493" s="20" t="s">
        <v>968</v>
      </c>
      <c r="F493" s="17" t="s">
        <v>508</v>
      </c>
      <c r="G493" s="19" t="s">
        <v>62</v>
      </c>
      <c r="H493" s="18">
        <v>5.8533333333333335</v>
      </c>
      <c r="I493" s="17" t="s">
        <v>16</v>
      </c>
      <c r="J493" s="17" t="s">
        <v>15</v>
      </c>
      <c r="K493" s="17"/>
      <c r="L493" s="17"/>
      <c r="M493" s="16" t="str">
        <f>HYPERLINK("http://slimages.macys.com/is/image/MCY/18863498 ")</f>
        <v xml:space="preserve">http://slimages.macys.com/is/image/MCY/18863498 </v>
      </c>
      <c r="N493" s="30"/>
    </row>
    <row r="494" spans="1:14" ht="60" x14ac:dyDescent="0.25">
      <c r="A494" s="19" t="s">
        <v>9128</v>
      </c>
      <c r="B494" s="17" t="s">
        <v>9127</v>
      </c>
      <c r="C494" s="20">
        <v>1</v>
      </c>
      <c r="D494" s="18">
        <v>25</v>
      </c>
      <c r="E494" s="20" t="s">
        <v>975</v>
      </c>
      <c r="F494" s="17" t="s">
        <v>23</v>
      </c>
      <c r="G494" s="19" t="s">
        <v>101</v>
      </c>
      <c r="H494" s="18">
        <v>5.8533333333333335</v>
      </c>
      <c r="I494" s="17" t="s">
        <v>16</v>
      </c>
      <c r="J494" s="17" t="s">
        <v>15</v>
      </c>
      <c r="K494" s="17"/>
      <c r="L494" s="17"/>
      <c r="M494" s="16" t="str">
        <f>HYPERLINK("http://slimages.macys.com/is/image/MCY/18053798 ")</f>
        <v xml:space="preserve">http://slimages.macys.com/is/image/MCY/18053798 </v>
      </c>
      <c r="N494" s="30"/>
    </row>
    <row r="495" spans="1:14" ht="60" x14ac:dyDescent="0.25">
      <c r="A495" s="19" t="s">
        <v>977</v>
      </c>
      <c r="B495" s="17" t="s">
        <v>976</v>
      </c>
      <c r="C495" s="20">
        <v>1</v>
      </c>
      <c r="D495" s="18">
        <v>25</v>
      </c>
      <c r="E495" s="20" t="s">
        <v>975</v>
      </c>
      <c r="F495" s="17" t="s">
        <v>23</v>
      </c>
      <c r="G495" s="19" t="s">
        <v>50</v>
      </c>
      <c r="H495" s="18">
        <v>5.8533333333333335</v>
      </c>
      <c r="I495" s="17" t="s">
        <v>16</v>
      </c>
      <c r="J495" s="17" t="s">
        <v>15</v>
      </c>
      <c r="K495" s="17"/>
      <c r="L495" s="17"/>
      <c r="M495" s="16" t="str">
        <f>HYPERLINK("http://slimages.macys.com/is/image/MCY/18053798 ")</f>
        <v xml:space="preserve">http://slimages.macys.com/is/image/MCY/18053798 </v>
      </c>
      <c r="N495" s="30"/>
    </row>
    <row r="496" spans="1:14" ht="60" x14ac:dyDescent="0.25">
      <c r="A496" s="19" t="s">
        <v>5478</v>
      </c>
      <c r="B496" s="17" t="s">
        <v>5477</v>
      </c>
      <c r="C496" s="20">
        <v>1</v>
      </c>
      <c r="D496" s="18">
        <v>25</v>
      </c>
      <c r="E496" s="20" t="s">
        <v>965</v>
      </c>
      <c r="F496" s="17" t="s">
        <v>23</v>
      </c>
      <c r="G496" s="19" t="s">
        <v>62</v>
      </c>
      <c r="H496" s="18">
        <v>5.8533333333333335</v>
      </c>
      <c r="I496" s="17" t="s">
        <v>16</v>
      </c>
      <c r="J496" s="17" t="s">
        <v>15</v>
      </c>
      <c r="K496" s="17"/>
      <c r="L496" s="17"/>
      <c r="M496" s="16" t="str">
        <f>HYPERLINK("http://slimages.macys.com/is/image/MCY/19419444 ")</f>
        <v xml:space="preserve">http://slimages.macys.com/is/image/MCY/19419444 </v>
      </c>
      <c r="N496" s="30"/>
    </row>
    <row r="497" spans="1:14" ht="60" x14ac:dyDescent="0.25">
      <c r="A497" s="19" t="s">
        <v>7063</v>
      </c>
      <c r="B497" s="17" t="s">
        <v>7062</v>
      </c>
      <c r="C497" s="20">
        <v>1</v>
      </c>
      <c r="D497" s="18">
        <v>25</v>
      </c>
      <c r="E497" s="20" t="s">
        <v>965</v>
      </c>
      <c r="F497" s="17" t="s">
        <v>23</v>
      </c>
      <c r="G497" s="19" t="s">
        <v>101</v>
      </c>
      <c r="H497" s="18">
        <v>5.8533333333333335</v>
      </c>
      <c r="I497" s="17" t="s">
        <v>16</v>
      </c>
      <c r="J497" s="17" t="s">
        <v>15</v>
      </c>
      <c r="K497" s="17"/>
      <c r="L497" s="17"/>
      <c r="M497" s="16" t="str">
        <f>HYPERLINK("http://slimages.macys.com/is/image/MCY/19419444 ")</f>
        <v xml:space="preserve">http://slimages.macys.com/is/image/MCY/19419444 </v>
      </c>
      <c r="N497" s="30"/>
    </row>
    <row r="498" spans="1:14" ht="60" x14ac:dyDescent="0.25">
      <c r="A498" s="19" t="s">
        <v>9126</v>
      </c>
      <c r="B498" s="17" t="s">
        <v>9125</v>
      </c>
      <c r="C498" s="20">
        <v>1</v>
      </c>
      <c r="D498" s="18">
        <v>25</v>
      </c>
      <c r="E498" s="20" t="s">
        <v>968</v>
      </c>
      <c r="F498" s="17" t="s">
        <v>508</v>
      </c>
      <c r="G498" s="19" t="s">
        <v>50</v>
      </c>
      <c r="H498" s="18">
        <v>5.8533333333333335</v>
      </c>
      <c r="I498" s="17" t="s">
        <v>16</v>
      </c>
      <c r="J498" s="17" t="s">
        <v>15</v>
      </c>
      <c r="K498" s="17"/>
      <c r="L498" s="17"/>
      <c r="M498" s="16" t="str">
        <f>HYPERLINK("http://slimages.macys.com/is/image/MCY/18863498 ")</f>
        <v xml:space="preserve">http://slimages.macys.com/is/image/MCY/18863498 </v>
      </c>
      <c r="N498" s="30"/>
    </row>
    <row r="499" spans="1:14" ht="60" x14ac:dyDescent="0.25">
      <c r="A499" s="19" t="s">
        <v>9124</v>
      </c>
      <c r="B499" s="17" t="s">
        <v>9123</v>
      </c>
      <c r="C499" s="20">
        <v>1</v>
      </c>
      <c r="D499" s="18">
        <v>27.3</v>
      </c>
      <c r="E499" s="20" t="s">
        <v>4173</v>
      </c>
      <c r="F499" s="17" t="s">
        <v>562</v>
      </c>
      <c r="G499" s="19" t="s">
        <v>197</v>
      </c>
      <c r="H499" s="18">
        <v>5.8</v>
      </c>
      <c r="I499" s="17" t="s">
        <v>42</v>
      </c>
      <c r="J499" s="17" t="s">
        <v>41</v>
      </c>
      <c r="K499" s="17"/>
      <c r="L499" s="17"/>
      <c r="M499" s="16" t="str">
        <f>HYPERLINK("http://slimages.macys.com/is/image/MCY/18916882 ")</f>
        <v xml:space="preserve">http://slimages.macys.com/is/image/MCY/18916882 </v>
      </c>
      <c r="N499" s="30"/>
    </row>
    <row r="500" spans="1:14" ht="60" x14ac:dyDescent="0.25">
      <c r="A500" s="19" t="s">
        <v>9122</v>
      </c>
      <c r="B500" s="17" t="s">
        <v>9121</v>
      </c>
      <c r="C500" s="20">
        <v>1</v>
      </c>
      <c r="D500" s="18">
        <v>27.3</v>
      </c>
      <c r="E500" s="20" t="s">
        <v>9120</v>
      </c>
      <c r="F500" s="17" t="s">
        <v>216</v>
      </c>
      <c r="G500" s="19" t="s">
        <v>69</v>
      </c>
      <c r="H500" s="18">
        <v>5.8</v>
      </c>
      <c r="I500" s="17" t="s">
        <v>42</v>
      </c>
      <c r="J500" s="17" t="s">
        <v>41</v>
      </c>
      <c r="K500" s="17"/>
      <c r="L500" s="17"/>
      <c r="M500" s="16" t="str">
        <f>HYPERLINK("http://slimages.macys.com/is/image/MCY/18916882 ")</f>
        <v xml:space="preserve">http://slimages.macys.com/is/image/MCY/18916882 </v>
      </c>
      <c r="N500" s="30"/>
    </row>
    <row r="501" spans="1:14" ht="60" x14ac:dyDescent="0.25">
      <c r="A501" s="19" t="s">
        <v>9119</v>
      </c>
      <c r="B501" s="17" t="s">
        <v>9118</v>
      </c>
      <c r="C501" s="20">
        <v>1</v>
      </c>
      <c r="D501" s="18">
        <v>27.3</v>
      </c>
      <c r="E501" s="20" t="s">
        <v>4173</v>
      </c>
      <c r="F501" s="17" t="s">
        <v>562</v>
      </c>
      <c r="G501" s="19" t="s">
        <v>69</v>
      </c>
      <c r="H501" s="18">
        <v>5.8</v>
      </c>
      <c r="I501" s="17" t="s">
        <v>42</v>
      </c>
      <c r="J501" s="17" t="s">
        <v>41</v>
      </c>
      <c r="K501" s="17"/>
      <c r="L501" s="17"/>
      <c r="M501" s="16" t="str">
        <f>HYPERLINK("http://slimages.macys.com/is/image/MCY/18916882 ")</f>
        <v xml:space="preserve">http://slimages.macys.com/is/image/MCY/18916882 </v>
      </c>
      <c r="N501" s="30"/>
    </row>
    <row r="502" spans="1:14" ht="60" x14ac:dyDescent="0.25">
      <c r="A502" s="19" t="s">
        <v>9117</v>
      </c>
      <c r="B502" s="17" t="s">
        <v>9116</v>
      </c>
      <c r="C502" s="20">
        <v>1</v>
      </c>
      <c r="D502" s="18">
        <v>29.5</v>
      </c>
      <c r="E502" s="20" t="s">
        <v>3261</v>
      </c>
      <c r="F502" s="17" t="s">
        <v>23</v>
      </c>
      <c r="G502" s="19" t="s">
        <v>139</v>
      </c>
      <c r="H502" s="18">
        <v>5.7333333333333334</v>
      </c>
      <c r="I502" s="17" t="s">
        <v>1891</v>
      </c>
      <c r="J502" s="17" t="s">
        <v>67</v>
      </c>
      <c r="K502" s="17"/>
      <c r="L502" s="17"/>
      <c r="M502" s="16" t="str">
        <f>HYPERLINK("http://slimages.macys.com/is/image/MCY/18344897 ")</f>
        <v xml:space="preserve">http://slimages.macys.com/is/image/MCY/18344897 </v>
      </c>
      <c r="N502" s="30"/>
    </row>
    <row r="503" spans="1:14" ht="60" x14ac:dyDescent="0.25">
      <c r="A503" s="19" t="s">
        <v>7056</v>
      </c>
      <c r="B503" s="17" t="s">
        <v>7055</v>
      </c>
      <c r="C503" s="20">
        <v>1</v>
      </c>
      <c r="D503" s="18">
        <v>39</v>
      </c>
      <c r="E503" s="20">
        <v>2321609</v>
      </c>
      <c r="F503" s="17" t="s">
        <v>91</v>
      </c>
      <c r="G503" s="19" t="s">
        <v>62</v>
      </c>
      <c r="H503" s="18">
        <v>5.666666666666667</v>
      </c>
      <c r="I503" s="17" t="s">
        <v>80</v>
      </c>
      <c r="J503" s="17" t="s">
        <v>293</v>
      </c>
      <c r="K503" s="17"/>
      <c r="L503" s="17"/>
      <c r="M503" s="16" t="str">
        <f>HYPERLINK("http://slimages.macys.com/is/image/MCY/18605627 ")</f>
        <v xml:space="preserve">http://slimages.macys.com/is/image/MCY/18605627 </v>
      </c>
      <c r="N503" s="30"/>
    </row>
    <row r="504" spans="1:14" ht="60" x14ac:dyDescent="0.25">
      <c r="A504" s="19" t="s">
        <v>9115</v>
      </c>
      <c r="B504" s="17" t="s">
        <v>9114</v>
      </c>
      <c r="C504" s="20">
        <v>1</v>
      </c>
      <c r="D504" s="18">
        <v>20</v>
      </c>
      <c r="E504" s="20" t="s">
        <v>3239</v>
      </c>
      <c r="F504" s="17" t="s">
        <v>282</v>
      </c>
      <c r="G504" s="19" t="s">
        <v>62</v>
      </c>
      <c r="H504" s="18">
        <v>4.9466666666666672</v>
      </c>
      <c r="I504" s="17" t="s">
        <v>16</v>
      </c>
      <c r="J504" s="17" t="s">
        <v>15</v>
      </c>
      <c r="K504" s="17"/>
      <c r="L504" s="17"/>
      <c r="M504" s="16" t="str">
        <f>HYPERLINK("http://slimages.macys.com/is/image/MCY/18946626 ")</f>
        <v xml:space="preserve">http://slimages.macys.com/is/image/MCY/18946626 </v>
      </c>
      <c r="N504" s="30"/>
    </row>
    <row r="505" spans="1:14" ht="60" x14ac:dyDescent="0.25">
      <c r="A505" s="19" t="s">
        <v>9113</v>
      </c>
      <c r="B505" s="17" t="s">
        <v>9112</v>
      </c>
      <c r="C505" s="20">
        <v>1</v>
      </c>
      <c r="D505" s="18">
        <v>34</v>
      </c>
      <c r="E505" s="20" t="s">
        <v>7037</v>
      </c>
      <c r="F505" s="17" t="s">
        <v>51</v>
      </c>
      <c r="G505" s="19" t="s">
        <v>69</v>
      </c>
      <c r="H505" s="18">
        <v>4.5600000000000005</v>
      </c>
      <c r="I505" s="17" t="s">
        <v>1700</v>
      </c>
      <c r="J505" s="17" t="s">
        <v>1699</v>
      </c>
      <c r="K505" s="17"/>
      <c r="L505" s="17"/>
      <c r="M505" s="16" t="str">
        <f>HYPERLINK("http://slimages.macys.com/is/image/MCY/18622079 ")</f>
        <v xml:space="preserve">http://slimages.macys.com/is/image/MCY/18622079 </v>
      </c>
      <c r="N505" s="30"/>
    </row>
    <row r="506" spans="1:14" ht="60" x14ac:dyDescent="0.25">
      <c r="A506" s="19" t="s">
        <v>9111</v>
      </c>
      <c r="B506" s="17" t="s">
        <v>9110</v>
      </c>
      <c r="C506" s="20">
        <v>1</v>
      </c>
      <c r="D506" s="18">
        <v>34</v>
      </c>
      <c r="E506" s="20" t="s">
        <v>7037</v>
      </c>
      <c r="F506" s="17" t="s">
        <v>51</v>
      </c>
      <c r="G506" s="19" t="s">
        <v>74</v>
      </c>
      <c r="H506" s="18">
        <v>4.5600000000000005</v>
      </c>
      <c r="I506" s="17" t="s">
        <v>1700</v>
      </c>
      <c r="J506" s="17" t="s">
        <v>1699</v>
      </c>
      <c r="K506" s="17"/>
      <c r="L506" s="17"/>
      <c r="M506" s="16" t="str">
        <f>HYPERLINK("http://slimages.macys.com/is/image/MCY/18622079 ")</f>
        <v xml:space="preserve">http://slimages.macys.com/is/image/MCY/18622079 </v>
      </c>
      <c r="N506" s="30"/>
    </row>
    <row r="507" spans="1:14" ht="60" x14ac:dyDescent="0.25">
      <c r="A507" s="19" t="s">
        <v>9109</v>
      </c>
      <c r="B507" s="17" t="s">
        <v>9108</v>
      </c>
      <c r="C507" s="20">
        <v>1</v>
      </c>
      <c r="D507" s="18">
        <v>198</v>
      </c>
      <c r="E507" s="20" t="s">
        <v>150</v>
      </c>
      <c r="F507" s="17" t="s">
        <v>2324</v>
      </c>
      <c r="G507" s="19" t="s">
        <v>694</v>
      </c>
      <c r="H507" s="18">
        <v>60</v>
      </c>
      <c r="I507" s="17" t="s">
        <v>148</v>
      </c>
      <c r="J507" s="17" t="s">
        <v>147</v>
      </c>
      <c r="K507" s="17"/>
      <c r="L507" s="17"/>
      <c r="M507" s="16"/>
      <c r="N507" s="30"/>
    </row>
    <row r="508" spans="1:14" ht="48" x14ac:dyDescent="0.25">
      <c r="A508" s="19" t="s">
        <v>9107</v>
      </c>
      <c r="B508" s="17" t="s">
        <v>9106</v>
      </c>
      <c r="C508" s="20">
        <v>1</v>
      </c>
      <c r="D508" s="18">
        <v>160</v>
      </c>
      <c r="E508" s="20">
        <v>594119116000020</v>
      </c>
      <c r="F508" s="17" t="s">
        <v>282</v>
      </c>
      <c r="G508" s="19" t="s">
        <v>74</v>
      </c>
      <c r="H508" s="18">
        <v>44.666666666666671</v>
      </c>
      <c r="I508" s="17" t="s">
        <v>158</v>
      </c>
      <c r="J508" s="17" t="s">
        <v>157</v>
      </c>
      <c r="K508" s="17"/>
      <c r="L508" s="17"/>
      <c r="M508" s="16"/>
      <c r="N508" s="30"/>
    </row>
    <row r="509" spans="1:14" ht="24" x14ac:dyDescent="0.25">
      <c r="A509" s="19" t="s">
        <v>9105</v>
      </c>
      <c r="B509" s="17" t="s">
        <v>9104</v>
      </c>
      <c r="C509" s="20">
        <v>1</v>
      </c>
      <c r="D509" s="18">
        <v>198</v>
      </c>
      <c r="E509" s="20" t="s">
        <v>9103</v>
      </c>
      <c r="F509" s="17" t="s">
        <v>282</v>
      </c>
      <c r="G509" s="19" t="s">
        <v>17</v>
      </c>
      <c r="H509" s="18">
        <v>43.693333333333335</v>
      </c>
      <c r="I509" s="17" t="s">
        <v>49</v>
      </c>
      <c r="J509" s="17" t="s">
        <v>48</v>
      </c>
      <c r="K509" s="17"/>
      <c r="L509" s="17"/>
      <c r="M509" s="16"/>
      <c r="N509" s="30"/>
    </row>
    <row r="510" spans="1:14" ht="60" x14ac:dyDescent="0.25">
      <c r="A510" s="19" t="s">
        <v>9102</v>
      </c>
      <c r="B510" s="17" t="s">
        <v>9101</v>
      </c>
      <c r="C510" s="20">
        <v>1</v>
      </c>
      <c r="D510" s="18">
        <v>118</v>
      </c>
      <c r="E510" s="20" t="s">
        <v>9100</v>
      </c>
      <c r="F510" s="17" t="s">
        <v>28</v>
      </c>
      <c r="G510" s="19" t="s">
        <v>6895</v>
      </c>
      <c r="H510" s="18">
        <v>31.466666666666665</v>
      </c>
      <c r="I510" s="17" t="s">
        <v>148</v>
      </c>
      <c r="J510" s="17" t="s">
        <v>2093</v>
      </c>
      <c r="K510" s="17"/>
      <c r="L510" s="17"/>
      <c r="M510" s="16"/>
      <c r="N510" s="30"/>
    </row>
    <row r="511" spans="1:14" ht="48" x14ac:dyDescent="0.25">
      <c r="A511" s="19" t="s">
        <v>9099</v>
      </c>
      <c r="B511" s="17" t="s">
        <v>9098</v>
      </c>
      <c r="C511" s="20">
        <v>1</v>
      </c>
      <c r="D511" s="18">
        <v>115</v>
      </c>
      <c r="E511" s="20">
        <v>1006</v>
      </c>
      <c r="F511" s="17" t="s">
        <v>575</v>
      </c>
      <c r="G511" s="19" t="s">
        <v>74</v>
      </c>
      <c r="H511" s="18">
        <v>30.666666666666664</v>
      </c>
      <c r="I511" s="17" t="s">
        <v>133</v>
      </c>
      <c r="J511" s="17" t="s">
        <v>1480</v>
      </c>
      <c r="K511" s="17"/>
      <c r="L511" s="17"/>
      <c r="M511" s="16"/>
      <c r="N511" s="30"/>
    </row>
    <row r="512" spans="1:14" ht="48" x14ac:dyDescent="0.25">
      <c r="A512" s="19" t="s">
        <v>9097</v>
      </c>
      <c r="B512" s="17" t="s">
        <v>9096</v>
      </c>
      <c r="C512" s="20">
        <v>1</v>
      </c>
      <c r="D512" s="18">
        <v>100</v>
      </c>
      <c r="E512" s="20" t="s">
        <v>9095</v>
      </c>
      <c r="F512" s="17" t="s">
        <v>58</v>
      </c>
      <c r="G512" s="19"/>
      <c r="H512" s="18">
        <v>30</v>
      </c>
      <c r="I512" s="17" t="s">
        <v>148</v>
      </c>
      <c r="J512" s="17" t="s">
        <v>9094</v>
      </c>
      <c r="K512" s="17"/>
      <c r="L512" s="17"/>
      <c r="M512" s="16"/>
      <c r="N512" s="30"/>
    </row>
    <row r="513" spans="1:14" ht="24" x14ac:dyDescent="0.25">
      <c r="A513" s="19" t="s">
        <v>9093</v>
      </c>
      <c r="B513" s="17" t="s">
        <v>9092</v>
      </c>
      <c r="C513" s="20">
        <v>1</v>
      </c>
      <c r="D513" s="18">
        <v>96.75</v>
      </c>
      <c r="E513" s="20">
        <v>10678280</v>
      </c>
      <c r="F513" s="17" t="s">
        <v>578</v>
      </c>
      <c r="G513" s="19" t="s">
        <v>916</v>
      </c>
      <c r="H513" s="18">
        <v>27.093333333333334</v>
      </c>
      <c r="I513" s="17" t="s">
        <v>358</v>
      </c>
      <c r="J513" s="17" t="s">
        <v>143</v>
      </c>
      <c r="K513" s="17"/>
      <c r="L513" s="17"/>
      <c r="M513" s="16"/>
      <c r="N513" s="30"/>
    </row>
    <row r="514" spans="1:14" ht="48" x14ac:dyDescent="0.25">
      <c r="A514" s="19" t="s">
        <v>9091</v>
      </c>
      <c r="B514" s="17" t="s">
        <v>9090</v>
      </c>
      <c r="C514" s="20">
        <v>1</v>
      </c>
      <c r="D514" s="18">
        <v>139</v>
      </c>
      <c r="E514" s="20" t="s">
        <v>9089</v>
      </c>
      <c r="F514" s="17" t="s">
        <v>575</v>
      </c>
      <c r="G514" s="19" t="s">
        <v>116</v>
      </c>
      <c r="H514" s="18">
        <v>25.986666666666668</v>
      </c>
      <c r="I514" s="17" t="s">
        <v>820</v>
      </c>
      <c r="J514" s="17" t="s">
        <v>67</v>
      </c>
      <c r="K514" s="17"/>
      <c r="L514" s="17"/>
      <c r="M514" s="16"/>
      <c r="N514" s="30"/>
    </row>
    <row r="515" spans="1:14" ht="48" x14ac:dyDescent="0.25">
      <c r="A515" s="19" t="s">
        <v>9088</v>
      </c>
      <c r="B515" s="17" t="s">
        <v>9087</v>
      </c>
      <c r="C515" s="20">
        <v>1</v>
      </c>
      <c r="D515" s="18">
        <v>139</v>
      </c>
      <c r="E515" s="20" t="s">
        <v>9084</v>
      </c>
      <c r="F515" s="17" t="s">
        <v>575</v>
      </c>
      <c r="G515" s="19" t="s">
        <v>96</v>
      </c>
      <c r="H515" s="18">
        <v>25.946666666666665</v>
      </c>
      <c r="I515" s="17" t="s">
        <v>820</v>
      </c>
      <c r="J515" s="17" t="s">
        <v>67</v>
      </c>
      <c r="K515" s="17"/>
      <c r="L515" s="17"/>
      <c r="M515" s="16"/>
      <c r="N515" s="30"/>
    </row>
    <row r="516" spans="1:14" ht="48" x14ac:dyDescent="0.25">
      <c r="A516" s="19" t="s">
        <v>9086</v>
      </c>
      <c r="B516" s="17" t="s">
        <v>9085</v>
      </c>
      <c r="C516" s="20">
        <v>1</v>
      </c>
      <c r="D516" s="18">
        <v>139</v>
      </c>
      <c r="E516" s="20" t="s">
        <v>9084</v>
      </c>
      <c r="F516" s="17" t="s">
        <v>575</v>
      </c>
      <c r="G516" s="19" t="s">
        <v>682</v>
      </c>
      <c r="H516" s="18">
        <v>25.946666666666665</v>
      </c>
      <c r="I516" s="17" t="s">
        <v>820</v>
      </c>
      <c r="J516" s="17" t="s">
        <v>67</v>
      </c>
      <c r="K516" s="17"/>
      <c r="L516" s="17"/>
      <c r="M516" s="16"/>
      <c r="N516" s="30"/>
    </row>
    <row r="517" spans="1:14" ht="24" x14ac:dyDescent="0.25">
      <c r="A517" s="19" t="s">
        <v>9083</v>
      </c>
      <c r="B517" s="17" t="s">
        <v>9082</v>
      </c>
      <c r="C517" s="20">
        <v>1</v>
      </c>
      <c r="D517" s="18">
        <v>96.75</v>
      </c>
      <c r="E517" s="20">
        <v>10793010</v>
      </c>
      <c r="F517" s="17" t="s">
        <v>272</v>
      </c>
      <c r="G517" s="19" t="s">
        <v>139</v>
      </c>
      <c r="H517" s="18">
        <v>25.8</v>
      </c>
      <c r="I517" s="17" t="s">
        <v>358</v>
      </c>
      <c r="J517" s="17" t="s">
        <v>143</v>
      </c>
      <c r="K517" s="17"/>
      <c r="L517" s="17"/>
      <c r="M517" s="16"/>
      <c r="N517" s="30"/>
    </row>
    <row r="518" spans="1:14" ht="48" x14ac:dyDescent="0.25">
      <c r="A518" s="19" t="s">
        <v>7970</v>
      </c>
      <c r="B518" s="17" t="s">
        <v>7969</v>
      </c>
      <c r="C518" s="20">
        <v>1</v>
      </c>
      <c r="D518" s="18">
        <v>97.3</v>
      </c>
      <c r="E518" s="20" t="s">
        <v>6030</v>
      </c>
      <c r="F518" s="17" t="s">
        <v>58</v>
      </c>
      <c r="G518" s="19" t="s">
        <v>2269</v>
      </c>
      <c r="H518" s="18">
        <v>25.38</v>
      </c>
      <c r="I518" s="17" t="s">
        <v>42</v>
      </c>
      <c r="J518" s="17" t="s">
        <v>41</v>
      </c>
      <c r="K518" s="17"/>
      <c r="L518" s="17"/>
      <c r="M518" s="16"/>
      <c r="N518" s="30"/>
    </row>
    <row r="519" spans="1:14" ht="24" x14ac:dyDescent="0.25">
      <c r="A519" s="19" t="s">
        <v>9081</v>
      </c>
      <c r="B519" s="17" t="s">
        <v>9080</v>
      </c>
      <c r="C519" s="20">
        <v>2</v>
      </c>
      <c r="D519" s="18">
        <v>80</v>
      </c>
      <c r="E519" s="20" t="s">
        <v>9079</v>
      </c>
      <c r="F519" s="17" t="s">
        <v>97</v>
      </c>
      <c r="G519" s="19" t="s">
        <v>2031</v>
      </c>
      <c r="H519" s="18">
        <v>24.666666666666668</v>
      </c>
      <c r="I519" s="17" t="s">
        <v>481</v>
      </c>
      <c r="J519" s="17" t="s">
        <v>1500</v>
      </c>
      <c r="K519" s="17"/>
      <c r="L519" s="17"/>
      <c r="M519" s="16"/>
      <c r="N519" s="30"/>
    </row>
    <row r="520" spans="1:14" ht="24" x14ac:dyDescent="0.25">
      <c r="A520" s="19" t="s">
        <v>9078</v>
      </c>
      <c r="B520" s="17" t="s">
        <v>9077</v>
      </c>
      <c r="C520" s="20">
        <v>1</v>
      </c>
      <c r="D520" s="18">
        <v>119</v>
      </c>
      <c r="E520" s="20">
        <v>10773860</v>
      </c>
      <c r="F520" s="17" t="s">
        <v>51</v>
      </c>
      <c r="G520" s="19" t="s">
        <v>62</v>
      </c>
      <c r="H520" s="18">
        <v>24.593333333333334</v>
      </c>
      <c r="I520" s="17" t="s">
        <v>144</v>
      </c>
      <c r="J520" s="17" t="s">
        <v>143</v>
      </c>
      <c r="K520" s="17"/>
      <c r="L520" s="17"/>
      <c r="M520" s="16"/>
      <c r="N520" s="30"/>
    </row>
    <row r="521" spans="1:14" ht="48" x14ac:dyDescent="0.25">
      <c r="A521" s="19" t="s">
        <v>9076</v>
      </c>
      <c r="B521" s="17" t="s">
        <v>9075</v>
      </c>
      <c r="C521" s="20">
        <v>1</v>
      </c>
      <c r="D521" s="18">
        <v>139</v>
      </c>
      <c r="E521" s="20">
        <v>10769946</v>
      </c>
      <c r="F521" s="17" t="s">
        <v>390</v>
      </c>
      <c r="G521" s="19" t="s">
        <v>1445</v>
      </c>
      <c r="H521" s="18">
        <v>23.166666666666668</v>
      </c>
      <c r="I521" s="17" t="s">
        <v>1307</v>
      </c>
      <c r="J521" s="17" t="s">
        <v>1306</v>
      </c>
      <c r="K521" s="17"/>
      <c r="L521" s="17"/>
      <c r="M521" s="16"/>
      <c r="N521" s="30"/>
    </row>
    <row r="522" spans="1:14" ht="48" x14ac:dyDescent="0.25">
      <c r="A522" s="19" t="s">
        <v>9074</v>
      </c>
      <c r="B522" s="17" t="s">
        <v>9073</v>
      </c>
      <c r="C522" s="20">
        <v>3</v>
      </c>
      <c r="D522" s="18">
        <v>139</v>
      </c>
      <c r="E522" s="20" t="s">
        <v>9072</v>
      </c>
      <c r="F522" s="17"/>
      <c r="G522" s="19" t="s">
        <v>698</v>
      </c>
      <c r="H522" s="18">
        <v>23.166666666666668</v>
      </c>
      <c r="I522" s="17" t="s">
        <v>820</v>
      </c>
      <c r="J522" s="17" t="s">
        <v>67</v>
      </c>
      <c r="K522" s="17"/>
      <c r="L522" s="17"/>
      <c r="M522" s="16"/>
      <c r="N522" s="30"/>
    </row>
    <row r="523" spans="1:14" ht="48" x14ac:dyDescent="0.25">
      <c r="A523" s="19" t="s">
        <v>9071</v>
      </c>
      <c r="B523" s="17" t="s">
        <v>9070</v>
      </c>
      <c r="C523" s="20">
        <v>1</v>
      </c>
      <c r="D523" s="18">
        <v>128</v>
      </c>
      <c r="E523" s="20" t="s">
        <v>9069</v>
      </c>
      <c r="F523" s="17" t="s">
        <v>206</v>
      </c>
      <c r="G523" s="19" t="s">
        <v>658</v>
      </c>
      <c r="H523" s="18">
        <v>23.04</v>
      </c>
      <c r="I523" s="17" t="s">
        <v>115</v>
      </c>
      <c r="J523" s="17" t="s">
        <v>742</v>
      </c>
      <c r="K523" s="17"/>
      <c r="L523" s="17"/>
      <c r="M523" s="16"/>
      <c r="N523" s="30"/>
    </row>
    <row r="524" spans="1:14" ht="60" x14ac:dyDescent="0.25">
      <c r="A524" s="19" t="s">
        <v>9068</v>
      </c>
      <c r="B524" s="17" t="s">
        <v>9067</v>
      </c>
      <c r="C524" s="20">
        <v>1</v>
      </c>
      <c r="D524" s="18">
        <v>119.5</v>
      </c>
      <c r="E524" s="20" t="s">
        <v>9066</v>
      </c>
      <c r="F524" s="17" t="s">
        <v>51</v>
      </c>
      <c r="G524" s="19" t="s">
        <v>139</v>
      </c>
      <c r="H524" s="18">
        <v>22.706666666666667</v>
      </c>
      <c r="I524" s="17" t="s">
        <v>540</v>
      </c>
      <c r="J524" s="17" t="s">
        <v>105</v>
      </c>
      <c r="K524" s="17"/>
      <c r="L524" s="17"/>
      <c r="M524" s="16"/>
      <c r="N524" s="30"/>
    </row>
    <row r="525" spans="1:14" ht="36" x14ac:dyDescent="0.25">
      <c r="A525" s="19" t="s">
        <v>9065</v>
      </c>
      <c r="B525" s="17" t="s">
        <v>9064</v>
      </c>
      <c r="C525" s="20">
        <v>1</v>
      </c>
      <c r="D525" s="18">
        <v>109</v>
      </c>
      <c r="E525" s="20">
        <v>10762570</v>
      </c>
      <c r="F525" s="17" t="s">
        <v>51</v>
      </c>
      <c r="G525" s="19" t="s">
        <v>916</v>
      </c>
      <c r="H525" s="18">
        <v>21.8</v>
      </c>
      <c r="I525" s="17" t="s">
        <v>358</v>
      </c>
      <c r="J525" s="17" t="s">
        <v>554</v>
      </c>
      <c r="K525" s="17"/>
      <c r="L525" s="17"/>
      <c r="M525" s="16"/>
      <c r="N525" s="30"/>
    </row>
    <row r="526" spans="1:14" ht="48" x14ac:dyDescent="0.25">
      <c r="A526" s="19" t="s">
        <v>9063</v>
      </c>
      <c r="B526" s="17" t="s">
        <v>9062</v>
      </c>
      <c r="C526" s="20">
        <v>1</v>
      </c>
      <c r="D526" s="18">
        <v>109</v>
      </c>
      <c r="E526" s="20">
        <v>10761948</v>
      </c>
      <c r="F526" s="17" t="s">
        <v>23</v>
      </c>
      <c r="G526" s="19" t="s">
        <v>57</v>
      </c>
      <c r="H526" s="18">
        <v>21.073333333333334</v>
      </c>
      <c r="I526" s="17" t="s">
        <v>120</v>
      </c>
      <c r="J526" s="17" t="s">
        <v>119</v>
      </c>
      <c r="K526" s="17"/>
      <c r="L526" s="17"/>
      <c r="M526" s="16"/>
      <c r="N526" s="30"/>
    </row>
    <row r="527" spans="1:14" x14ac:dyDescent="0.25">
      <c r="A527" s="19" t="s">
        <v>9061</v>
      </c>
      <c r="B527" s="17" t="s">
        <v>9060</v>
      </c>
      <c r="C527" s="20">
        <v>1</v>
      </c>
      <c r="D527" s="18">
        <v>98</v>
      </c>
      <c r="E527" s="20" t="s">
        <v>9059</v>
      </c>
      <c r="F527" s="17"/>
      <c r="G527" s="19"/>
      <c r="H527" s="18">
        <v>20.90666666666667</v>
      </c>
      <c r="I527" s="17" t="s">
        <v>49</v>
      </c>
      <c r="J527" s="17" t="s">
        <v>48</v>
      </c>
      <c r="K527" s="17"/>
      <c r="L527" s="17"/>
      <c r="M527" s="16"/>
      <c r="N527" s="30"/>
    </row>
    <row r="528" spans="1:14" ht="24" x14ac:dyDescent="0.25">
      <c r="A528" s="19" t="s">
        <v>9058</v>
      </c>
      <c r="B528" s="17" t="s">
        <v>9057</v>
      </c>
      <c r="C528" s="20">
        <v>1</v>
      </c>
      <c r="D528" s="18">
        <v>99</v>
      </c>
      <c r="E528" s="20">
        <v>10745180</v>
      </c>
      <c r="F528" s="17" t="s">
        <v>23</v>
      </c>
      <c r="G528" s="19" t="s">
        <v>857</v>
      </c>
      <c r="H528" s="18">
        <v>20.46</v>
      </c>
      <c r="I528" s="17" t="s">
        <v>144</v>
      </c>
      <c r="J528" s="17" t="s">
        <v>143</v>
      </c>
      <c r="K528" s="17"/>
      <c r="L528" s="17"/>
      <c r="M528" s="16"/>
      <c r="N528" s="30"/>
    </row>
    <row r="529" spans="1:14" ht="48" x14ac:dyDescent="0.25">
      <c r="A529" s="19" t="s">
        <v>9056</v>
      </c>
      <c r="B529" s="17" t="s">
        <v>9055</v>
      </c>
      <c r="C529" s="20">
        <v>1</v>
      </c>
      <c r="D529" s="18">
        <v>119</v>
      </c>
      <c r="E529" s="20">
        <v>10771808</v>
      </c>
      <c r="F529" s="17" t="s">
        <v>575</v>
      </c>
      <c r="G529" s="19" t="s">
        <v>96</v>
      </c>
      <c r="H529" s="18">
        <v>19.833333333333336</v>
      </c>
      <c r="I529" s="17" t="s">
        <v>120</v>
      </c>
      <c r="J529" s="17" t="s">
        <v>119</v>
      </c>
      <c r="K529" s="17"/>
      <c r="L529" s="17"/>
      <c r="M529" s="16"/>
      <c r="N529" s="30"/>
    </row>
    <row r="530" spans="1:14" ht="24" x14ac:dyDescent="0.25">
      <c r="A530" s="19" t="s">
        <v>9054</v>
      </c>
      <c r="B530" s="17" t="s">
        <v>9053</v>
      </c>
      <c r="C530" s="20">
        <v>1</v>
      </c>
      <c r="D530" s="18">
        <v>74.25</v>
      </c>
      <c r="E530" s="20">
        <v>10802078</v>
      </c>
      <c r="F530" s="17" t="s">
        <v>575</v>
      </c>
      <c r="G530" s="19" t="s">
        <v>271</v>
      </c>
      <c r="H530" s="18">
        <v>19.8</v>
      </c>
      <c r="I530" s="17" t="s">
        <v>358</v>
      </c>
      <c r="J530" s="17" t="s">
        <v>143</v>
      </c>
      <c r="K530" s="17"/>
      <c r="L530" s="17"/>
      <c r="M530" s="16"/>
      <c r="N530" s="30"/>
    </row>
    <row r="531" spans="1:14" ht="48" x14ac:dyDescent="0.25">
      <c r="A531" s="19" t="s">
        <v>9052</v>
      </c>
      <c r="B531" s="17" t="s">
        <v>9051</v>
      </c>
      <c r="C531" s="20">
        <v>1</v>
      </c>
      <c r="D531" s="18">
        <v>111.75</v>
      </c>
      <c r="E531" s="20" t="s">
        <v>7916</v>
      </c>
      <c r="F531" s="17" t="s">
        <v>28</v>
      </c>
      <c r="G531" s="19" t="s">
        <v>916</v>
      </c>
      <c r="H531" s="18">
        <v>19.106666666666669</v>
      </c>
      <c r="I531" s="17" t="s">
        <v>358</v>
      </c>
      <c r="J531" s="17" t="s">
        <v>32</v>
      </c>
      <c r="K531" s="17"/>
      <c r="L531" s="17"/>
      <c r="M531" s="16"/>
      <c r="N531" s="30"/>
    </row>
    <row r="532" spans="1:14" ht="48" x14ac:dyDescent="0.25">
      <c r="A532" s="19" t="s">
        <v>7922</v>
      </c>
      <c r="B532" s="17" t="s">
        <v>7921</v>
      </c>
      <c r="C532" s="20">
        <v>1</v>
      </c>
      <c r="D532" s="18">
        <v>111.75</v>
      </c>
      <c r="E532" s="20" t="s">
        <v>7916</v>
      </c>
      <c r="F532" s="17" t="s">
        <v>28</v>
      </c>
      <c r="G532" s="19" t="s">
        <v>1292</v>
      </c>
      <c r="H532" s="18">
        <v>19.106666666666669</v>
      </c>
      <c r="I532" s="17" t="s">
        <v>358</v>
      </c>
      <c r="J532" s="17" t="s">
        <v>32</v>
      </c>
      <c r="K532" s="17"/>
      <c r="L532" s="17"/>
      <c r="M532" s="16"/>
      <c r="N532" s="30"/>
    </row>
    <row r="533" spans="1:14" ht="24" x14ac:dyDescent="0.25">
      <c r="A533" s="19" t="s">
        <v>9050</v>
      </c>
      <c r="B533" s="17" t="s">
        <v>9049</v>
      </c>
      <c r="C533" s="20">
        <v>1</v>
      </c>
      <c r="D533" s="18">
        <v>66.75</v>
      </c>
      <c r="E533" s="20">
        <v>10799066</v>
      </c>
      <c r="F533" s="17" t="s">
        <v>51</v>
      </c>
      <c r="G533" s="19" t="s">
        <v>271</v>
      </c>
      <c r="H533" s="18">
        <v>18.693333333333332</v>
      </c>
      <c r="I533" s="17" t="s">
        <v>358</v>
      </c>
      <c r="J533" s="17" t="s">
        <v>143</v>
      </c>
      <c r="K533" s="17"/>
      <c r="L533" s="17"/>
      <c r="M533" s="16"/>
      <c r="N533" s="30"/>
    </row>
    <row r="534" spans="1:14" ht="48" x14ac:dyDescent="0.25">
      <c r="A534" s="19" t="s">
        <v>9048</v>
      </c>
      <c r="B534" s="17" t="s">
        <v>9047</v>
      </c>
      <c r="C534" s="20">
        <v>1</v>
      </c>
      <c r="D534" s="18">
        <v>74.25</v>
      </c>
      <c r="E534" s="20" t="s">
        <v>8654</v>
      </c>
      <c r="F534" s="17" t="s">
        <v>58</v>
      </c>
      <c r="G534" s="19" t="s">
        <v>1445</v>
      </c>
      <c r="H534" s="18">
        <v>18.686666666666667</v>
      </c>
      <c r="I534" s="17" t="s">
        <v>358</v>
      </c>
      <c r="J534" s="17" t="s">
        <v>32</v>
      </c>
      <c r="K534" s="17"/>
      <c r="L534" s="17"/>
      <c r="M534" s="16"/>
      <c r="N534" s="30"/>
    </row>
    <row r="535" spans="1:14" ht="36" x14ac:dyDescent="0.25">
      <c r="A535" s="19" t="s">
        <v>9046</v>
      </c>
      <c r="B535" s="17" t="s">
        <v>9045</v>
      </c>
      <c r="C535" s="20">
        <v>1</v>
      </c>
      <c r="D535" s="18">
        <v>79</v>
      </c>
      <c r="E535" s="20">
        <v>7030116</v>
      </c>
      <c r="F535" s="17" t="s">
        <v>91</v>
      </c>
      <c r="G535" s="19" t="s">
        <v>62</v>
      </c>
      <c r="H535" s="18">
        <v>18.433333333333334</v>
      </c>
      <c r="I535" s="17" t="s">
        <v>111</v>
      </c>
      <c r="J535" s="17" t="s">
        <v>110</v>
      </c>
      <c r="K535" s="17"/>
      <c r="L535" s="17"/>
      <c r="M535" s="16"/>
      <c r="N535" s="30"/>
    </row>
    <row r="536" spans="1:14" ht="48" x14ac:dyDescent="0.25">
      <c r="A536" s="19" t="s">
        <v>9044</v>
      </c>
      <c r="B536" s="17" t="s">
        <v>9043</v>
      </c>
      <c r="C536" s="20">
        <v>1</v>
      </c>
      <c r="D536" s="18">
        <v>89</v>
      </c>
      <c r="E536" s="20">
        <v>10793214</v>
      </c>
      <c r="F536" s="17" t="s">
        <v>63</v>
      </c>
      <c r="G536" s="19" t="s">
        <v>271</v>
      </c>
      <c r="H536" s="18">
        <v>18.393333333333334</v>
      </c>
      <c r="I536" s="17" t="s">
        <v>1307</v>
      </c>
      <c r="J536" s="17" t="s">
        <v>1306</v>
      </c>
      <c r="K536" s="17"/>
      <c r="L536" s="17"/>
      <c r="M536" s="16"/>
      <c r="N536" s="30"/>
    </row>
    <row r="537" spans="1:14" ht="60" x14ac:dyDescent="0.25">
      <c r="A537" s="19" t="s">
        <v>9042</v>
      </c>
      <c r="B537" s="17" t="s">
        <v>9041</v>
      </c>
      <c r="C537" s="20">
        <v>1</v>
      </c>
      <c r="D537" s="18">
        <v>89.5</v>
      </c>
      <c r="E537" s="20" t="s">
        <v>9040</v>
      </c>
      <c r="F537" s="17" t="s">
        <v>764</v>
      </c>
      <c r="G537" s="19" t="s">
        <v>698</v>
      </c>
      <c r="H537" s="18">
        <v>18.033333333333335</v>
      </c>
      <c r="I537" s="17" t="s">
        <v>106</v>
      </c>
      <c r="J537" s="17" t="s">
        <v>105</v>
      </c>
      <c r="K537" s="17"/>
      <c r="L537" s="17"/>
      <c r="M537" s="16"/>
      <c r="N537" s="30"/>
    </row>
    <row r="538" spans="1:14" ht="60" x14ac:dyDescent="0.25">
      <c r="A538" s="19" t="s">
        <v>9039</v>
      </c>
      <c r="B538" s="17" t="s">
        <v>9038</v>
      </c>
      <c r="C538" s="20">
        <v>1</v>
      </c>
      <c r="D538" s="18">
        <v>89.5</v>
      </c>
      <c r="E538" s="20" t="s">
        <v>9037</v>
      </c>
      <c r="F538" s="17" t="s">
        <v>433</v>
      </c>
      <c r="G538" s="19"/>
      <c r="H538" s="18">
        <v>17</v>
      </c>
      <c r="I538" s="17" t="s">
        <v>540</v>
      </c>
      <c r="J538" s="17" t="s">
        <v>105</v>
      </c>
      <c r="K538" s="17"/>
      <c r="L538" s="17"/>
      <c r="M538" s="16"/>
      <c r="N538" s="30"/>
    </row>
    <row r="539" spans="1:14" ht="48" x14ac:dyDescent="0.25">
      <c r="A539" s="19" t="s">
        <v>9036</v>
      </c>
      <c r="B539" s="17" t="s">
        <v>9035</v>
      </c>
      <c r="C539" s="20">
        <v>1</v>
      </c>
      <c r="D539" s="18">
        <v>89.5</v>
      </c>
      <c r="E539" s="20" t="s">
        <v>2825</v>
      </c>
      <c r="F539" s="17" t="s">
        <v>1536</v>
      </c>
      <c r="G539" s="19" t="s">
        <v>57</v>
      </c>
      <c r="H539" s="18">
        <v>16.853333333333335</v>
      </c>
      <c r="I539" s="17" t="s">
        <v>68</v>
      </c>
      <c r="J539" s="17" t="s">
        <v>67</v>
      </c>
      <c r="K539" s="17"/>
      <c r="L539" s="17"/>
      <c r="M539" s="16"/>
      <c r="N539" s="30"/>
    </row>
    <row r="540" spans="1:14" ht="36" x14ac:dyDescent="0.25">
      <c r="A540" s="19" t="s">
        <v>9034</v>
      </c>
      <c r="B540" s="17" t="s">
        <v>9033</v>
      </c>
      <c r="C540" s="20">
        <v>1</v>
      </c>
      <c r="D540" s="18">
        <v>79.5</v>
      </c>
      <c r="E540" s="20" t="s">
        <v>9032</v>
      </c>
      <c r="F540" s="17" t="s">
        <v>58</v>
      </c>
      <c r="G540" s="19" t="s">
        <v>69</v>
      </c>
      <c r="H540" s="18">
        <v>16.833333333333332</v>
      </c>
      <c r="I540" s="17" t="s">
        <v>80</v>
      </c>
      <c r="J540" s="17" t="s">
        <v>531</v>
      </c>
      <c r="K540" s="17"/>
      <c r="L540" s="17"/>
      <c r="M540" s="16"/>
      <c r="N540" s="30"/>
    </row>
    <row r="541" spans="1:14" ht="24" x14ac:dyDescent="0.25">
      <c r="A541" s="19" t="s">
        <v>9031</v>
      </c>
      <c r="B541" s="17" t="s">
        <v>9030</v>
      </c>
      <c r="C541" s="20">
        <v>1</v>
      </c>
      <c r="D541" s="18">
        <v>66.75</v>
      </c>
      <c r="E541" s="20">
        <v>10797442</v>
      </c>
      <c r="F541" s="17" t="s">
        <v>206</v>
      </c>
      <c r="G541" s="19" t="s">
        <v>1445</v>
      </c>
      <c r="H541" s="18">
        <v>16.82</v>
      </c>
      <c r="I541" s="17" t="s">
        <v>358</v>
      </c>
      <c r="J541" s="17" t="s">
        <v>143</v>
      </c>
      <c r="K541" s="17"/>
      <c r="L541" s="17"/>
      <c r="M541" s="16"/>
      <c r="N541" s="30"/>
    </row>
    <row r="542" spans="1:14" ht="24" x14ac:dyDescent="0.25">
      <c r="A542" s="19" t="s">
        <v>9029</v>
      </c>
      <c r="B542" s="17" t="s">
        <v>9028</v>
      </c>
      <c r="C542" s="20">
        <v>1</v>
      </c>
      <c r="D542" s="18">
        <v>66.75</v>
      </c>
      <c r="E542" s="20">
        <v>10798946</v>
      </c>
      <c r="F542" s="17" t="s">
        <v>206</v>
      </c>
      <c r="G542" s="19" t="s">
        <v>880</v>
      </c>
      <c r="H542" s="18">
        <v>16.82</v>
      </c>
      <c r="I542" s="17" t="s">
        <v>358</v>
      </c>
      <c r="J542" s="17" t="s">
        <v>143</v>
      </c>
      <c r="K542" s="17"/>
      <c r="L542" s="17"/>
      <c r="M542" s="16"/>
      <c r="N542" s="30"/>
    </row>
    <row r="543" spans="1:14" ht="60" x14ac:dyDescent="0.25">
      <c r="A543" s="19" t="s">
        <v>9027</v>
      </c>
      <c r="B543" s="17" t="s">
        <v>9026</v>
      </c>
      <c r="C543" s="20">
        <v>1</v>
      </c>
      <c r="D543" s="18">
        <v>89.5</v>
      </c>
      <c r="E543" s="20">
        <v>30127477</v>
      </c>
      <c r="F543" s="17" t="s">
        <v>282</v>
      </c>
      <c r="G543" s="19"/>
      <c r="H543" s="18">
        <v>16.706666666666667</v>
      </c>
      <c r="I543" s="17" t="s">
        <v>80</v>
      </c>
      <c r="J543" s="17" t="s">
        <v>513</v>
      </c>
      <c r="K543" s="17"/>
      <c r="L543" s="17"/>
      <c r="M543" s="16"/>
      <c r="N543" s="30"/>
    </row>
    <row r="544" spans="1:14" ht="48" x14ac:dyDescent="0.25">
      <c r="A544" s="19" t="s">
        <v>9025</v>
      </c>
      <c r="B544" s="17" t="s">
        <v>9024</v>
      </c>
      <c r="C544" s="20">
        <v>1</v>
      </c>
      <c r="D544" s="18">
        <v>89</v>
      </c>
      <c r="E544" s="20" t="s">
        <v>9023</v>
      </c>
      <c r="F544" s="17" t="s">
        <v>63</v>
      </c>
      <c r="G544" s="19" t="s">
        <v>1336</v>
      </c>
      <c r="H544" s="18">
        <v>15.333333333333332</v>
      </c>
      <c r="I544" s="17" t="s">
        <v>550</v>
      </c>
      <c r="J544" s="17" t="s">
        <v>1090</v>
      </c>
      <c r="K544" s="17"/>
      <c r="L544" s="17"/>
      <c r="M544" s="16"/>
      <c r="N544" s="30"/>
    </row>
    <row r="545" spans="1:14" ht="60" x14ac:dyDescent="0.25">
      <c r="A545" s="19" t="s">
        <v>9022</v>
      </c>
      <c r="B545" s="17" t="s">
        <v>9021</v>
      </c>
      <c r="C545" s="20">
        <v>1</v>
      </c>
      <c r="D545" s="18">
        <v>79.5</v>
      </c>
      <c r="E545" s="20" t="s">
        <v>9020</v>
      </c>
      <c r="F545" s="17" t="s">
        <v>58</v>
      </c>
      <c r="G545" s="19"/>
      <c r="H545" s="18">
        <v>15.106666666666667</v>
      </c>
      <c r="I545" s="17" t="s">
        <v>540</v>
      </c>
      <c r="J545" s="17" t="s">
        <v>105</v>
      </c>
      <c r="K545" s="17"/>
      <c r="L545" s="17"/>
      <c r="M545" s="16"/>
      <c r="N545" s="30"/>
    </row>
    <row r="546" spans="1:14" ht="60" x14ac:dyDescent="0.25">
      <c r="A546" s="19" t="s">
        <v>9019</v>
      </c>
      <c r="B546" s="17" t="s">
        <v>9018</v>
      </c>
      <c r="C546" s="20">
        <v>1</v>
      </c>
      <c r="D546" s="18">
        <v>79.5</v>
      </c>
      <c r="E546" s="20" t="s">
        <v>9017</v>
      </c>
      <c r="F546" s="17" t="s">
        <v>149</v>
      </c>
      <c r="G546" s="19" t="s">
        <v>139</v>
      </c>
      <c r="H546" s="18">
        <v>15.106666666666667</v>
      </c>
      <c r="I546" s="17" t="s">
        <v>540</v>
      </c>
      <c r="J546" s="17" t="s">
        <v>105</v>
      </c>
      <c r="K546" s="17"/>
      <c r="L546" s="17"/>
      <c r="M546" s="16"/>
      <c r="N546" s="30"/>
    </row>
    <row r="547" spans="1:14" ht="36" x14ac:dyDescent="0.25">
      <c r="A547" s="19" t="s">
        <v>9016</v>
      </c>
      <c r="B547" s="17" t="s">
        <v>9015</v>
      </c>
      <c r="C547" s="20">
        <v>1</v>
      </c>
      <c r="D547" s="18">
        <v>89</v>
      </c>
      <c r="E547" s="20">
        <v>7021027</v>
      </c>
      <c r="F547" s="17" t="s">
        <v>58</v>
      </c>
      <c r="G547" s="19" t="s">
        <v>101</v>
      </c>
      <c r="H547" s="18">
        <v>14.833333333333334</v>
      </c>
      <c r="I547" s="17" t="s">
        <v>111</v>
      </c>
      <c r="J547" s="17" t="s">
        <v>110</v>
      </c>
      <c r="K547" s="17"/>
      <c r="L547" s="17"/>
      <c r="M547" s="16"/>
      <c r="N547" s="30"/>
    </row>
    <row r="548" spans="1:14" ht="48" x14ac:dyDescent="0.25">
      <c r="A548" s="19" t="s">
        <v>9014</v>
      </c>
      <c r="B548" s="17" t="s">
        <v>9013</v>
      </c>
      <c r="C548" s="20">
        <v>1</v>
      </c>
      <c r="D548" s="18">
        <v>89</v>
      </c>
      <c r="E548" s="20">
        <v>10763648</v>
      </c>
      <c r="F548" s="17" t="s">
        <v>578</v>
      </c>
      <c r="G548" s="19" t="s">
        <v>43</v>
      </c>
      <c r="H548" s="18">
        <v>14.833333333333334</v>
      </c>
      <c r="I548" s="17" t="s">
        <v>120</v>
      </c>
      <c r="J548" s="17" t="s">
        <v>119</v>
      </c>
      <c r="K548" s="17"/>
      <c r="L548" s="17"/>
      <c r="M548" s="16"/>
      <c r="N548" s="30"/>
    </row>
    <row r="549" spans="1:14" ht="48" x14ac:dyDescent="0.25">
      <c r="A549" s="19" t="s">
        <v>9012</v>
      </c>
      <c r="B549" s="17" t="s">
        <v>9011</v>
      </c>
      <c r="C549" s="20">
        <v>1</v>
      </c>
      <c r="D549" s="18">
        <v>55.3</v>
      </c>
      <c r="E549" s="20" t="s">
        <v>1631</v>
      </c>
      <c r="F549" s="17" t="s">
        <v>63</v>
      </c>
      <c r="G549" s="19" t="s">
        <v>74</v>
      </c>
      <c r="H549" s="18">
        <v>14.426666666666668</v>
      </c>
      <c r="I549" s="17" t="s">
        <v>42</v>
      </c>
      <c r="J549" s="17" t="s">
        <v>41</v>
      </c>
      <c r="K549" s="17"/>
      <c r="L549" s="17"/>
      <c r="M549" s="16"/>
      <c r="N549" s="30"/>
    </row>
    <row r="550" spans="1:14" ht="24" x14ac:dyDescent="0.25">
      <c r="A550" s="19" t="s">
        <v>9010</v>
      </c>
      <c r="B550" s="17" t="s">
        <v>9009</v>
      </c>
      <c r="C550" s="20">
        <v>1</v>
      </c>
      <c r="D550" s="18">
        <v>69</v>
      </c>
      <c r="E550" s="20">
        <v>10765308</v>
      </c>
      <c r="F550" s="17" t="s">
        <v>51</v>
      </c>
      <c r="G550" s="19" t="s">
        <v>658</v>
      </c>
      <c r="H550" s="18">
        <v>14.26</v>
      </c>
      <c r="I550" s="17" t="s">
        <v>144</v>
      </c>
      <c r="J550" s="17" t="s">
        <v>143</v>
      </c>
      <c r="K550" s="17"/>
      <c r="L550" s="17"/>
      <c r="M550" s="16"/>
      <c r="N550" s="30"/>
    </row>
    <row r="551" spans="1:14" ht="48" x14ac:dyDescent="0.25">
      <c r="A551" s="19" t="s">
        <v>9008</v>
      </c>
      <c r="B551" s="17" t="s">
        <v>9007</v>
      </c>
      <c r="C551" s="20">
        <v>1</v>
      </c>
      <c r="D551" s="18">
        <v>79</v>
      </c>
      <c r="E551" s="20">
        <v>8150091</v>
      </c>
      <c r="F551" s="17" t="s">
        <v>345</v>
      </c>
      <c r="G551" s="19" t="s">
        <v>22</v>
      </c>
      <c r="H551" s="18">
        <v>13.166666666666668</v>
      </c>
      <c r="I551" s="17" t="s">
        <v>129</v>
      </c>
      <c r="J551" s="17" t="s">
        <v>128</v>
      </c>
      <c r="K551" s="17"/>
      <c r="L551" s="17"/>
      <c r="M551" s="16"/>
      <c r="N551" s="30"/>
    </row>
    <row r="552" spans="1:14" ht="48" x14ac:dyDescent="0.25">
      <c r="A552" s="19" t="s">
        <v>9006</v>
      </c>
      <c r="B552" s="17" t="s">
        <v>9005</v>
      </c>
      <c r="C552" s="20">
        <v>1</v>
      </c>
      <c r="D552" s="18">
        <v>69</v>
      </c>
      <c r="E552" s="20" t="s">
        <v>1133</v>
      </c>
      <c r="F552" s="17" t="s">
        <v>85</v>
      </c>
      <c r="G552" s="19" t="s">
        <v>57</v>
      </c>
      <c r="H552" s="18">
        <v>13.086666666666668</v>
      </c>
      <c r="I552" s="17" t="s">
        <v>56</v>
      </c>
      <c r="J552" s="17" t="s">
        <v>55</v>
      </c>
      <c r="K552" s="17"/>
      <c r="L552" s="17"/>
      <c r="M552" s="16"/>
      <c r="N552" s="30"/>
    </row>
    <row r="553" spans="1:14" ht="24" x14ac:dyDescent="0.25">
      <c r="A553" s="19" t="s">
        <v>9004</v>
      </c>
      <c r="B553" s="17" t="s">
        <v>9003</v>
      </c>
      <c r="C553" s="20">
        <v>1</v>
      </c>
      <c r="D553" s="18">
        <v>59</v>
      </c>
      <c r="E553" s="20" t="s">
        <v>9002</v>
      </c>
      <c r="F553" s="17" t="s">
        <v>1526</v>
      </c>
      <c r="G553" s="19" t="s">
        <v>62</v>
      </c>
      <c r="H553" s="18">
        <v>13.020000000000001</v>
      </c>
      <c r="I553" s="17" t="s">
        <v>49</v>
      </c>
      <c r="J553" s="17" t="s">
        <v>48</v>
      </c>
      <c r="K553" s="17"/>
      <c r="L553" s="17"/>
      <c r="M553" s="16"/>
      <c r="N553" s="30"/>
    </row>
    <row r="554" spans="1:14" ht="36" x14ac:dyDescent="0.25">
      <c r="A554" s="19" t="s">
        <v>9001</v>
      </c>
      <c r="B554" s="17" t="s">
        <v>9000</v>
      </c>
      <c r="C554" s="20">
        <v>1</v>
      </c>
      <c r="D554" s="18">
        <v>55</v>
      </c>
      <c r="E554" s="20" t="s">
        <v>8999</v>
      </c>
      <c r="F554" s="17" t="s">
        <v>330</v>
      </c>
      <c r="G554" s="19" t="s">
        <v>62</v>
      </c>
      <c r="H554" s="18">
        <v>12</v>
      </c>
      <c r="I554" s="17" t="s">
        <v>80</v>
      </c>
      <c r="J554" s="17" t="s">
        <v>531</v>
      </c>
      <c r="K554" s="17"/>
      <c r="L554" s="17"/>
      <c r="M554" s="16"/>
      <c r="N554" s="30"/>
    </row>
    <row r="555" spans="1:14" ht="36" x14ac:dyDescent="0.25">
      <c r="A555" s="19" t="s">
        <v>8998</v>
      </c>
      <c r="B555" s="17" t="s">
        <v>8997</v>
      </c>
      <c r="C555" s="20">
        <v>1</v>
      </c>
      <c r="D555" s="18">
        <v>69</v>
      </c>
      <c r="E555" s="20">
        <v>10804590</v>
      </c>
      <c r="F555" s="17" t="s">
        <v>63</v>
      </c>
      <c r="G555" s="19" t="s">
        <v>271</v>
      </c>
      <c r="H555" s="18">
        <v>11.500000000000002</v>
      </c>
      <c r="I555" s="17" t="s">
        <v>358</v>
      </c>
      <c r="J555" s="17" t="s">
        <v>554</v>
      </c>
      <c r="K555" s="17"/>
      <c r="L555" s="17"/>
      <c r="M555" s="16"/>
      <c r="N555" s="30"/>
    </row>
    <row r="556" spans="1:14" ht="48" x14ac:dyDescent="0.25">
      <c r="A556" s="19" t="s">
        <v>8996</v>
      </c>
      <c r="B556" s="17" t="s">
        <v>8995</v>
      </c>
      <c r="C556" s="20">
        <v>1</v>
      </c>
      <c r="D556" s="18">
        <v>59.5</v>
      </c>
      <c r="E556" s="20" t="s">
        <v>8994</v>
      </c>
      <c r="F556" s="17" t="s">
        <v>85</v>
      </c>
      <c r="G556" s="19" t="s">
        <v>57</v>
      </c>
      <c r="H556" s="18">
        <v>11.206666666666667</v>
      </c>
      <c r="I556" s="17" t="s">
        <v>68</v>
      </c>
      <c r="J556" s="17" t="s">
        <v>67</v>
      </c>
      <c r="K556" s="17"/>
      <c r="L556" s="17"/>
      <c r="M556" s="16"/>
      <c r="N556" s="30"/>
    </row>
    <row r="557" spans="1:14" ht="48" x14ac:dyDescent="0.25">
      <c r="A557" s="19" t="s">
        <v>8993</v>
      </c>
      <c r="B557" s="17" t="s">
        <v>8992</v>
      </c>
      <c r="C557" s="20">
        <v>1</v>
      </c>
      <c r="D557" s="18">
        <v>59.5</v>
      </c>
      <c r="E557" s="20" t="s">
        <v>8991</v>
      </c>
      <c r="F557" s="17" t="s">
        <v>28</v>
      </c>
      <c r="G557" s="19" t="s">
        <v>57</v>
      </c>
      <c r="H557" s="18">
        <v>11.206666666666667</v>
      </c>
      <c r="I557" s="17" t="s">
        <v>68</v>
      </c>
      <c r="J557" s="17" t="s">
        <v>67</v>
      </c>
      <c r="K557" s="17"/>
      <c r="L557" s="17"/>
      <c r="M557" s="16"/>
      <c r="N557" s="30"/>
    </row>
    <row r="558" spans="1:14" ht="48" x14ac:dyDescent="0.25">
      <c r="A558" s="19" t="s">
        <v>8990</v>
      </c>
      <c r="B558" s="17" t="s">
        <v>8989</v>
      </c>
      <c r="C558" s="20">
        <v>1</v>
      </c>
      <c r="D558" s="18">
        <v>59.5</v>
      </c>
      <c r="E558" s="20" t="s">
        <v>6214</v>
      </c>
      <c r="F558" s="17" t="s">
        <v>63</v>
      </c>
      <c r="G558" s="19" t="s">
        <v>62</v>
      </c>
      <c r="H558" s="18">
        <v>11.2</v>
      </c>
      <c r="I558" s="17" t="s">
        <v>56</v>
      </c>
      <c r="J558" s="17" t="s">
        <v>55</v>
      </c>
      <c r="K558" s="17"/>
      <c r="L558" s="17"/>
      <c r="M558" s="16"/>
      <c r="N558" s="30"/>
    </row>
    <row r="559" spans="1:14" ht="60" x14ac:dyDescent="0.25">
      <c r="A559" s="19" t="s">
        <v>8988</v>
      </c>
      <c r="B559" s="17" t="s">
        <v>8987</v>
      </c>
      <c r="C559" s="20">
        <v>1</v>
      </c>
      <c r="D559" s="18">
        <v>54.5</v>
      </c>
      <c r="E559" s="20" t="s">
        <v>8986</v>
      </c>
      <c r="F559" s="17" t="s">
        <v>23</v>
      </c>
      <c r="G559" s="19" t="s">
        <v>139</v>
      </c>
      <c r="H559" s="18">
        <v>10.353333333333333</v>
      </c>
      <c r="I559" s="17" t="s">
        <v>540</v>
      </c>
      <c r="J559" s="17" t="s">
        <v>105</v>
      </c>
      <c r="K559" s="17"/>
      <c r="L559" s="17"/>
      <c r="M559" s="16"/>
      <c r="N559" s="30"/>
    </row>
    <row r="560" spans="1:14" ht="24" x14ac:dyDescent="0.25">
      <c r="A560" s="19" t="s">
        <v>8985</v>
      </c>
      <c r="B560" s="17" t="s">
        <v>8984</v>
      </c>
      <c r="C560" s="20">
        <v>1</v>
      </c>
      <c r="D560" s="18">
        <v>49</v>
      </c>
      <c r="E560" s="20">
        <v>10771488</v>
      </c>
      <c r="F560" s="17" t="s">
        <v>28</v>
      </c>
      <c r="G560" s="19" t="s">
        <v>27</v>
      </c>
      <c r="H560" s="18">
        <v>10.126666666666667</v>
      </c>
      <c r="I560" s="17" t="s">
        <v>144</v>
      </c>
      <c r="J560" s="17" t="s">
        <v>143</v>
      </c>
      <c r="K560" s="17"/>
      <c r="L560" s="17"/>
      <c r="M560" s="16"/>
      <c r="N560" s="30"/>
    </row>
    <row r="561" spans="1:14" ht="48" x14ac:dyDescent="0.25">
      <c r="A561" s="19" t="s">
        <v>8983</v>
      </c>
      <c r="B561" s="17" t="s">
        <v>8982</v>
      </c>
      <c r="C561" s="20">
        <v>1</v>
      </c>
      <c r="D561" s="18">
        <v>59</v>
      </c>
      <c r="E561" s="20">
        <v>2360617</v>
      </c>
      <c r="F561" s="17" t="s">
        <v>282</v>
      </c>
      <c r="G561" s="19" t="s">
        <v>17</v>
      </c>
      <c r="H561" s="18">
        <v>9.7666666666666675</v>
      </c>
      <c r="I561" s="17" t="s">
        <v>80</v>
      </c>
      <c r="J561" s="17" t="s">
        <v>293</v>
      </c>
      <c r="K561" s="17"/>
      <c r="L561" s="17"/>
      <c r="M561" s="16"/>
      <c r="N561" s="30"/>
    </row>
    <row r="562" spans="1:14" ht="36" x14ac:dyDescent="0.25">
      <c r="A562" s="19" t="s">
        <v>8981</v>
      </c>
      <c r="B562" s="17" t="s">
        <v>8980</v>
      </c>
      <c r="C562" s="20">
        <v>1</v>
      </c>
      <c r="D562" s="18">
        <v>50</v>
      </c>
      <c r="E562" s="20" t="s">
        <v>8979</v>
      </c>
      <c r="F562" s="17" t="s">
        <v>51</v>
      </c>
      <c r="G562" s="19" t="s">
        <v>101</v>
      </c>
      <c r="H562" s="18">
        <v>8.913333333333334</v>
      </c>
      <c r="I562" s="17" t="s">
        <v>16</v>
      </c>
      <c r="J562" s="17" t="s">
        <v>15</v>
      </c>
      <c r="K562" s="17"/>
      <c r="L562" s="17"/>
      <c r="M562" s="16"/>
      <c r="N562" s="30"/>
    </row>
    <row r="563" spans="1:14" ht="48" x14ac:dyDescent="0.25">
      <c r="A563" s="19" t="s">
        <v>8978</v>
      </c>
      <c r="B563" s="17" t="s">
        <v>8977</v>
      </c>
      <c r="C563" s="20">
        <v>1</v>
      </c>
      <c r="D563" s="18">
        <v>45.5</v>
      </c>
      <c r="E563" s="20" t="s">
        <v>8976</v>
      </c>
      <c r="F563" s="17" t="s">
        <v>58</v>
      </c>
      <c r="G563" s="19" t="s">
        <v>62</v>
      </c>
      <c r="H563" s="18">
        <v>8.5666666666666664</v>
      </c>
      <c r="I563" s="17" t="s">
        <v>56</v>
      </c>
      <c r="J563" s="17" t="s">
        <v>55</v>
      </c>
      <c r="K563" s="17"/>
      <c r="L563" s="17"/>
      <c r="M563" s="16"/>
      <c r="N563" s="30"/>
    </row>
    <row r="564" spans="1:14" ht="60" x14ac:dyDescent="0.25">
      <c r="A564" s="19" t="s">
        <v>8975</v>
      </c>
      <c r="B564" s="17" t="s">
        <v>8974</v>
      </c>
      <c r="C564" s="20">
        <v>1</v>
      </c>
      <c r="D564" s="18">
        <v>44.5</v>
      </c>
      <c r="E564" s="20">
        <v>30127869</v>
      </c>
      <c r="F564" s="17" t="s">
        <v>23</v>
      </c>
      <c r="G564" s="19" t="s">
        <v>57</v>
      </c>
      <c r="H564" s="18">
        <v>8.3066666666666666</v>
      </c>
      <c r="I564" s="17" t="s">
        <v>80</v>
      </c>
      <c r="J564" s="17" t="s">
        <v>513</v>
      </c>
      <c r="K564" s="17"/>
      <c r="L564" s="17"/>
      <c r="M564" s="16"/>
      <c r="N564" s="30"/>
    </row>
    <row r="565" spans="1:14" ht="48" x14ac:dyDescent="0.25">
      <c r="A565" s="19" t="s">
        <v>8973</v>
      </c>
      <c r="B565" s="17" t="s">
        <v>8972</v>
      </c>
      <c r="C565" s="20">
        <v>1</v>
      </c>
      <c r="D565" s="18">
        <v>49</v>
      </c>
      <c r="E565" s="20">
        <v>9221688</v>
      </c>
      <c r="F565" s="17" t="s">
        <v>508</v>
      </c>
      <c r="G565" s="19" t="s">
        <v>271</v>
      </c>
      <c r="H565" s="18">
        <v>8.1666666666666679</v>
      </c>
      <c r="I565" s="17" t="s">
        <v>138</v>
      </c>
      <c r="J565" s="17" t="s">
        <v>137</v>
      </c>
      <c r="K565" s="17"/>
      <c r="L565" s="17"/>
      <c r="M565" s="16"/>
      <c r="N565" s="30"/>
    </row>
    <row r="566" spans="1:14" ht="48" x14ac:dyDescent="0.25">
      <c r="A566" s="19" t="s">
        <v>8971</v>
      </c>
      <c r="B566" s="17" t="s">
        <v>8970</v>
      </c>
      <c r="C566" s="20">
        <v>1</v>
      </c>
      <c r="D566" s="18">
        <v>39</v>
      </c>
      <c r="E566" s="20">
        <v>2321610</v>
      </c>
      <c r="F566" s="17" t="s">
        <v>28</v>
      </c>
      <c r="G566" s="19" t="s">
        <v>22</v>
      </c>
      <c r="H566" s="18">
        <v>8</v>
      </c>
      <c r="I566" s="17" t="s">
        <v>80</v>
      </c>
      <c r="J566" s="17" t="s">
        <v>293</v>
      </c>
      <c r="K566" s="17"/>
      <c r="L566" s="17"/>
      <c r="M566" s="16"/>
      <c r="N566" s="30"/>
    </row>
    <row r="567" spans="1:14" ht="60" x14ac:dyDescent="0.25">
      <c r="A567" s="19" t="s">
        <v>3095</v>
      </c>
      <c r="B567" s="17" t="s">
        <v>3094</v>
      </c>
      <c r="C567" s="20">
        <v>1</v>
      </c>
      <c r="D567" s="18">
        <v>48</v>
      </c>
      <c r="E567" s="20">
        <v>30090342</v>
      </c>
      <c r="F567" s="17" t="s">
        <v>28</v>
      </c>
      <c r="G567" s="19" t="s">
        <v>116</v>
      </c>
      <c r="H567" s="18">
        <v>8</v>
      </c>
      <c r="I567" s="17" t="s">
        <v>1777</v>
      </c>
      <c r="J567" s="17" t="s">
        <v>1776</v>
      </c>
      <c r="K567" s="17"/>
      <c r="L567" s="17"/>
      <c r="M567" s="16"/>
      <c r="N567" s="30"/>
    </row>
    <row r="568" spans="1:14" ht="60" x14ac:dyDescent="0.25">
      <c r="A568" s="19" t="s">
        <v>7872</v>
      </c>
      <c r="B568" s="17" t="s">
        <v>3094</v>
      </c>
      <c r="C568" s="20">
        <v>1</v>
      </c>
      <c r="D568" s="18">
        <v>48</v>
      </c>
      <c r="E568" s="20">
        <v>30090342</v>
      </c>
      <c r="F568" s="17" t="s">
        <v>28</v>
      </c>
      <c r="G568" s="19" t="s">
        <v>698</v>
      </c>
      <c r="H568" s="18">
        <v>8</v>
      </c>
      <c r="I568" s="17" t="s">
        <v>1777</v>
      </c>
      <c r="J568" s="17" t="s">
        <v>1776</v>
      </c>
      <c r="K568" s="17"/>
      <c r="L568" s="17"/>
      <c r="M568" s="16"/>
      <c r="N568" s="30"/>
    </row>
    <row r="569" spans="1:14" ht="60" x14ac:dyDescent="0.25">
      <c r="A569" s="19" t="s">
        <v>7871</v>
      </c>
      <c r="B569" s="17" t="s">
        <v>3094</v>
      </c>
      <c r="C569" s="20">
        <v>3</v>
      </c>
      <c r="D569" s="18">
        <v>48</v>
      </c>
      <c r="E569" s="20">
        <v>30090342</v>
      </c>
      <c r="F569" s="17" t="s">
        <v>28</v>
      </c>
      <c r="G569" s="19" t="s">
        <v>658</v>
      </c>
      <c r="H569" s="18">
        <v>8</v>
      </c>
      <c r="I569" s="17" t="s">
        <v>1777</v>
      </c>
      <c r="J569" s="17" t="s">
        <v>1776</v>
      </c>
      <c r="K569" s="17"/>
      <c r="L569" s="17"/>
      <c r="M569" s="16"/>
      <c r="N569" s="30"/>
    </row>
    <row r="570" spans="1:14" ht="48" x14ac:dyDescent="0.25">
      <c r="A570" s="19" t="s">
        <v>8969</v>
      </c>
      <c r="B570" s="17" t="s">
        <v>8968</v>
      </c>
      <c r="C570" s="20">
        <v>1</v>
      </c>
      <c r="D570" s="18">
        <v>69</v>
      </c>
      <c r="E570" s="20">
        <v>2350220</v>
      </c>
      <c r="F570" s="17" t="s">
        <v>91</v>
      </c>
      <c r="G570" s="19" t="s">
        <v>17</v>
      </c>
      <c r="H570" s="18">
        <v>7.86</v>
      </c>
      <c r="I570" s="17" t="s">
        <v>80</v>
      </c>
      <c r="J570" s="17" t="s">
        <v>293</v>
      </c>
      <c r="K570" s="17"/>
      <c r="L570" s="17"/>
      <c r="M570" s="16"/>
      <c r="N570" s="30"/>
    </row>
    <row r="571" spans="1:14" ht="48" x14ac:dyDescent="0.25">
      <c r="A571" s="19" t="s">
        <v>8967</v>
      </c>
      <c r="B571" s="17" t="s">
        <v>8966</v>
      </c>
      <c r="C571" s="20">
        <v>1</v>
      </c>
      <c r="D571" s="18">
        <v>69</v>
      </c>
      <c r="E571" s="20">
        <v>2350220</v>
      </c>
      <c r="F571" s="17" t="s">
        <v>91</v>
      </c>
      <c r="G571" s="19" t="s">
        <v>22</v>
      </c>
      <c r="H571" s="18">
        <v>7.86</v>
      </c>
      <c r="I571" s="17" t="s">
        <v>80</v>
      </c>
      <c r="J571" s="17" t="s">
        <v>293</v>
      </c>
      <c r="K571" s="17"/>
      <c r="L571" s="17"/>
      <c r="M571" s="16"/>
      <c r="N571" s="30"/>
    </row>
    <row r="572" spans="1:14" ht="60" x14ac:dyDescent="0.25">
      <c r="A572" s="19" t="s">
        <v>8965</v>
      </c>
      <c r="B572" s="17" t="s">
        <v>8964</v>
      </c>
      <c r="C572" s="20">
        <v>1</v>
      </c>
      <c r="D572" s="18">
        <v>44</v>
      </c>
      <c r="E572" s="20">
        <v>30132959</v>
      </c>
      <c r="F572" s="17" t="s">
        <v>508</v>
      </c>
      <c r="G572" s="19" t="s">
        <v>857</v>
      </c>
      <c r="H572" s="18">
        <v>7.3333333333333339</v>
      </c>
      <c r="I572" s="17" t="s">
        <v>1777</v>
      </c>
      <c r="J572" s="17" t="s">
        <v>1776</v>
      </c>
      <c r="K572" s="17"/>
      <c r="L572" s="17"/>
      <c r="M572" s="16"/>
      <c r="N572" s="30"/>
    </row>
    <row r="573" spans="1:14" ht="36" x14ac:dyDescent="0.25">
      <c r="A573" s="19" t="s">
        <v>8963</v>
      </c>
      <c r="B573" s="17" t="s">
        <v>8962</v>
      </c>
      <c r="C573" s="20">
        <v>1</v>
      </c>
      <c r="D573" s="18">
        <v>44</v>
      </c>
      <c r="E573" s="20" t="s">
        <v>8961</v>
      </c>
      <c r="F573" s="17" t="s">
        <v>544</v>
      </c>
      <c r="G573" s="19" t="s">
        <v>351</v>
      </c>
      <c r="H573" s="18">
        <v>6.666666666666667</v>
      </c>
      <c r="I573" s="17" t="s">
        <v>550</v>
      </c>
      <c r="J573" s="17" t="s">
        <v>7853</v>
      </c>
      <c r="K573" s="17"/>
      <c r="L573" s="17"/>
      <c r="M573" s="16"/>
      <c r="N573" s="30"/>
    </row>
    <row r="574" spans="1:14" ht="48" x14ac:dyDescent="0.25">
      <c r="A574" s="19" t="s">
        <v>8960</v>
      </c>
      <c r="B574" s="17" t="s">
        <v>8959</v>
      </c>
      <c r="C574" s="20">
        <v>1</v>
      </c>
      <c r="D574" s="18">
        <v>39</v>
      </c>
      <c r="E574" s="20">
        <v>2350643</v>
      </c>
      <c r="F574" s="17" t="s">
        <v>91</v>
      </c>
      <c r="G574" s="19" t="s">
        <v>62</v>
      </c>
      <c r="H574" s="18">
        <v>5.9933333333333341</v>
      </c>
      <c r="I574" s="17" t="s">
        <v>80</v>
      </c>
      <c r="J574" s="17" t="s">
        <v>293</v>
      </c>
      <c r="K574" s="17"/>
      <c r="L574" s="17"/>
      <c r="M574" s="16"/>
      <c r="N574" s="30"/>
    </row>
  </sheetData>
  <pageMargins left="0.5" right="0.5" top="0.25" bottom="0.25" header="0.3" footer="0.3"/>
  <pageSetup scale="65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174"/>
  <sheetViews>
    <sheetView workbookViewId="0">
      <selection activeCell="K2" sqref="K2"/>
    </sheetView>
  </sheetViews>
  <sheetFormatPr defaultRowHeight="15" x14ac:dyDescent="0.25"/>
  <cols>
    <col min="1" max="1" width="14.28515625" style="15" customWidth="1"/>
    <col min="2" max="2" width="49.140625" style="15" customWidth="1"/>
    <col min="3" max="3" width="15" style="15" customWidth="1"/>
    <col min="4" max="4" width="10.85546875" style="15" customWidth="1"/>
    <col min="5" max="6" width="15" style="15" customWidth="1"/>
    <col min="7" max="7" width="10.28515625" style="15" customWidth="1"/>
    <col min="8" max="8" width="12.5703125" style="15" customWidth="1"/>
    <col min="9" max="11" width="11.42578125" style="15" customWidth="1"/>
    <col min="12" max="12" width="7.42578125" style="15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4" ht="36" x14ac:dyDescent="0.25">
      <c r="A1" s="48" t="s">
        <v>2</v>
      </c>
      <c r="B1" s="48" t="s">
        <v>3</v>
      </c>
      <c r="C1" s="48" t="s">
        <v>5</v>
      </c>
      <c r="D1" s="48" t="s">
        <v>817</v>
      </c>
      <c r="E1" s="48" t="s">
        <v>7</v>
      </c>
      <c r="F1" s="48" t="s">
        <v>816</v>
      </c>
      <c r="G1" s="48" t="s">
        <v>815</v>
      </c>
      <c r="H1" s="48" t="s">
        <v>814</v>
      </c>
      <c r="I1" s="48" t="s">
        <v>10</v>
      </c>
      <c r="J1" s="48"/>
      <c r="K1" s="48"/>
    </row>
    <row r="2" spans="1:14" ht="36" x14ac:dyDescent="0.25">
      <c r="A2" s="17" t="s">
        <v>14</v>
      </c>
      <c r="B2" s="32">
        <v>13808823</v>
      </c>
      <c r="C2" s="17" t="s">
        <v>11</v>
      </c>
      <c r="D2" s="17" t="s">
        <v>813</v>
      </c>
      <c r="E2" s="20">
        <v>1</v>
      </c>
      <c r="F2" s="20">
        <v>4</v>
      </c>
      <c r="G2" s="17">
        <v>330</v>
      </c>
      <c r="H2" s="18">
        <v>13923.78</v>
      </c>
      <c r="I2" s="17">
        <v>176</v>
      </c>
      <c r="J2" s="33"/>
      <c r="K2" s="33"/>
      <c r="L2" s="30"/>
      <c r="M2" s="30"/>
    </row>
    <row r="3" spans="1:14" x14ac:dyDescent="0.25">
      <c r="A3" s="23"/>
      <c r="B3" s="25"/>
      <c r="C3" s="25"/>
      <c r="D3" s="23"/>
      <c r="E3" s="23"/>
      <c r="F3" s="23"/>
      <c r="G3" s="25"/>
      <c r="H3" s="25"/>
      <c r="I3" s="23"/>
      <c r="J3" s="22"/>
      <c r="K3" s="22"/>
      <c r="L3" s="23"/>
      <c r="M3" s="22"/>
      <c r="N3" s="22"/>
    </row>
    <row r="4" spans="1:14" s="21" customFormat="1" x14ac:dyDescent="0.25"/>
    <row r="5" spans="1:14" x14ac:dyDescent="0.25">
      <c r="A5" s="1"/>
      <c r="B5" s="1"/>
      <c r="C5" s="1"/>
      <c r="D5" s="1"/>
    </row>
    <row r="6" spans="1:14" x14ac:dyDescent="0.25">
      <c r="A6" s="24"/>
      <c r="B6" s="23"/>
      <c r="C6" s="22"/>
      <c r="D6" s="22"/>
    </row>
    <row r="7" spans="1:14" s="21" customFormat="1" x14ac:dyDescent="0.25"/>
    <row r="8" spans="1:14" ht="36" x14ac:dyDescent="0.25">
      <c r="A8" s="48" t="s">
        <v>812</v>
      </c>
      <c r="B8" s="48" t="s">
        <v>811</v>
      </c>
      <c r="C8" s="48" t="s">
        <v>810</v>
      </c>
      <c r="D8" s="48" t="s">
        <v>9</v>
      </c>
      <c r="E8" s="48" t="s">
        <v>809</v>
      </c>
      <c r="F8" s="48" t="s">
        <v>808</v>
      </c>
      <c r="G8" s="48" t="s">
        <v>807</v>
      </c>
      <c r="H8" s="48" t="s">
        <v>806</v>
      </c>
      <c r="I8" s="48" t="s">
        <v>805</v>
      </c>
      <c r="J8" s="48" t="s">
        <v>804</v>
      </c>
      <c r="K8" s="48" t="s">
        <v>803</v>
      </c>
      <c r="L8" s="48" t="s">
        <v>802</v>
      </c>
      <c r="M8" s="48" t="s">
        <v>801</v>
      </c>
    </row>
    <row r="9" spans="1:14" ht="60" x14ac:dyDescent="0.25">
      <c r="A9" s="19" t="s">
        <v>10365</v>
      </c>
      <c r="B9" s="17" t="s">
        <v>10364</v>
      </c>
      <c r="C9" s="20">
        <v>1</v>
      </c>
      <c r="D9" s="18">
        <v>198</v>
      </c>
      <c r="E9" s="20" t="s">
        <v>10363</v>
      </c>
      <c r="F9" s="17" t="s">
        <v>575</v>
      </c>
      <c r="G9" s="19"/>
      <c r="H9" s="18">
        <v>60</v>
      </c>
      <c r="I9" s="17" t="s">
        <v>148</v>
      </c>
      <c r="J9" s="17" t="s">
        <v>147</v>
      </c>
      <c r="K9" s="17" t="s">
        <v>771</v>
      </c>
      <c r="L9" s="17" t="s">
        <v>10362</v>
      </c>
      <c r="M9" s="16" t="str">
        <f>HYPERLINK("http://images.bloomingdales.com/is/image/BLM/11484374 ")</f>
        <v xml:space="preserve">http://images.bloomingdales.com/is/image/BLM/11484374 </v>
      </c>
      <c r="N9" s="30"/>
    </row>
    <row r="10" spans="1:14" ht="60" x14ac:dyDescent="0.25">
      <c r="A10" s="19" t="s">
        <v>10361</v>
      </c>
      <c r="B10" s="17" t="s">
        <v>10360</v>
      </c>
      <c r="C10" s="20">
        <v>1</v>
      </c>
      <c r="D10" s="18">
        <v>168</v>
      </c>
      <c r="E10" s="20" t="s">
        <v>10359</v>
      </c>
      <c r="F10" s="17" t="s">
        <v>51</v>
      </c>
      <c r="G10" s="19" t="s">
        <v>74</v>
      </c>
      <c r="H10" s="18">
        <v>47.033333333333331</v>
      </c>
      <c r="I10" s="17" t="s">
        <v>153</v>
      </c>
      <c r="J10" s="17" t="s">
        <v>7808</v>
      </c>
      <c r="K10" s="17" t="s">
        <v>389</v>
      </c>
      <c r="L10" s="17" t="s">
        <v>10358</v>
      </c>
      <c r="M10" s="16" t="str">
        <f>HYPERLINK("http://slimages.macys.com/is/image/MCY/8351341 ")</f>
        <v xml:space="preserve">http://slimages.macys.com/is/image/MCY/8351341 </v>
      </c>
      <c r="N10" s="30"/>
    </row>
    <row r="11" spans="1:14" ht="60" x14ac:dyDescent="0.25">
      <c r="A11" s="19" t="s">
        <v>10357</v>
      </c>
      <c r="B11" s="17" t="s">
        <v>10356</v>
      </c>
      <c r="C11" s="20">
        <v>1</v>
      </c>
      <c r="D11" s="18">
        <v>148</v>
      </c>
      <c r="E11" s="20" t="s">
        <v>7805</v>
      </c>
      <c r="F11" s="17" t="s">
        <v>578</v>
      </c>
      <c r="G11" s="19" t="s">
        <v>197</v>
      </c>
      <c r="H11" s="18">
        <v>39.466666666666669</v>
      </c>
      <c r="I11" s="17" t="s">
        <v>148</v>
      </c>
      <c r="J11" s="17" t="s">
        <v>2093</v>
      </c>
      <c r="K11" s="17"/>
      <c r="L11" s="17"/>
      <c r="M11" s="16" t="str">
        <f>HYPERLINK("http://slimages.macys.com/is/image/MCY/18515431 ")</f>
        <v xml:space="preserve">http://slimages.macys.com/is/image/MCY/18515431 </v>
      </c>
      <c r="N11" s="30"/>
    </row>
    <row r="12" spans="1:14" ht="108" x14ac:dyDescent="0.25">
      <c r="A12" s="19" t="s">
        <v>10355</v>
      </c>
      <c r="B12" s="17" t="s">
        <v>10354</v>
      </c>
      <c r="C12" s="20">
        <v>1</v>
      </c>
      <c r="D12" s="18">
        <v>139.5</v>
      </c>
      <c r="E12" s="20" t="s">
        <v>10353</v>
      </c>
      <c r="F12" s="17" t="s">
        <v>63</v>
      </c>
      <c r="G12" s="19" t="s">
        <v>27</v>
      </c>
      <c r="H12" s="18">
        <v>37.200000000000003</v>
      </c>
      <c r="I12" s="17" t="s">
        <v>68</v>
      </c>
      <c r="J12" s="17" t="s">
        <v>67</v>
      </c>
      <c r="K12" s="17" t="s">
        <v>389</v>
      </c>
      <c r="L12" s="17" t="s">
        <v>10352</v>
      </c>
      <c r="M12" s="16" t="str">
        <f>HYPERLINK("http://slimages.macys.com/is/image/MCY/16270847 ")</f>
        <v xml:space="preserve">http://slimages.macys.com/is/image/MCY/16270847 </v>
      </c>
      <c r="N12" s="30"/>
    </row>
    <row r="13" spans="1:14" ht="60" x14ac:dyDescent="0.25">
      <c r="A13" s="19" t="s">
        <v>10351</v>
      </c>
      <c r="B13" s="17" t="s">
        <v>10350</v>
      </c>
      <c r="C13" s="20">
        <v>1</v>
      </c>
      <c r="D13" s="18">
        <v>138</v>
      </c>
      <c r="E13" s="20" t="s">
        <v>10347</v>
      </c>
      <c r="F13" s="17" t="s">
        <v>28</v>
      </c>
      <c r="G13" s="19" t="s">
        <v>9779</v>
      </c>
      <c r="H13" s="18">
        <v>32</v>
      </c>
      <c r="I13" s="17" t="s">
        <v>115</v>
      </c>
      <c r="J13" s="17" t="s">
        <v>1367</v>
      </c>
      <c r="K13" s="17" t="s">
        <v>389</v>
      </c>
      <c r="L13" s="17" t="s">
        <v>388</v>
      </c>
      <c r="M13" s="16" t="str">
        <f>HYPERLINK("http://slimages.macys.com/is/image/MCY/11723826 ")</f>
        <v xml:space="preserve">http://slimages.macys.com/is/image/MCY/11723826 </v>
      </c>
      <c r="N13" s="30"/>
    </row>
    <row r="14" spans="1:14" ht="60" x14ac:dyDescent="0.25">
      <c r="A14" s="19" t="s">
        <v>10349</v>
      </c>
      <c r="B14" s="17" t="s">
        <v>10348</v>
      </c>
      <c r="C14" s="20">
        <v>1</v>
      </c>
      <c r="D14" s="18">
        <v>138</v>
      </c>
      <c r="E14" s="20" t="s">
        <v>10347</v>
      </c>
      <c r="F14" s="17" t="s">
        <v>28</v>
      </c>
      <c r="G14" s="19" t="s">
        <v>6704</v>
      </c>
      <c r="H14" s="18">
        <v>32</v>
      </c>
      <c r="I14" s="17" t="s">
        <v>115</v>
      </c>
      <c r="J14" s="17" t="s">
        <v>1367</v>
      </c>
      <c r="K14" s="17" t="s">
        <v>389</v>
      </c>
      <c r="L14" s="17" t="s">
        <v>388</v>
      </c>
      <c r="M14" s="16" t="str">
        <f>HYPERLINK("http://slimages.macys.com/is/image/MCY/11723826 ")</f>
        <v xml:space="preserve">http://slimages.macys.com/is/image/MCY/11723826 </v>
      </c>
      <c r="N14" s="30"/>
    </row>
    <row r="15" spans="1:14" ht="60" x14ac:dyDescent="0.25">
      <c r="A15" s="19" t="s">
        <v>10346</v>
      </c>
      <c r="B15" s="17" t="s">
        <v>10345</v>
      </c>
      <c r="C15" s="20">
        <v>1</v>
      </c>
      <c r="D15" s="18">
        <v>118</v>
      </c>
      <c r="E15" s="20" t="s">
        <v>10344</v>
      </c>
      <c r="F15" s="17" t="s">
        <v>282</v>
      </c>
      <c r="G15" s="19" t="s">
        <v>6895</v>
      </c>
      <c r="H15" s="18">
        <v>31.466666666666665</v>
      </c>
      <c r="I15" s="17" t="s">
        <v>148</v>
      </c>
      <c r="J15" s="17" t="s">
        <v>2093</v>
      </c>
      <c r="K15" s="17"/>
      <c r="L15" s="17"/>
      <c r="M15" s="16" t="str">
        <f>HYPERLINK("http://slimages.macys.com/is/image/MCY/18515461 ")</f>
        <v xml:space="preserve">http://slimages.macys.com/is/image/MCY/18515461 </v>
      </c>
      <c r="N15" s="30"/>
    </row>
    <row r="16" spans="1:14" ht="60" x14ac:dyDescent="0.25">
      <c r="A16" s="19" t="s">
        <v>10343</v>
      </c>
      <c r="B16" s="17" t="s">
        <v>10342</v>
      </c>
      <c r="C16" s="20">
        <v>1</v>
      </c>
      <c r="D16" s="18">
        <v>129</v>
      </c>
      <c r="E16" s="20" t="s">
        <v>10341</v>
      </c>
      <c r="F16" s="17" t="s">
        <v>51</v>
      </c>
      <c r="G16" s="19" t="s">
        <v>773</v>
      </c>
      <c r="H16" s="18">
        <v>31.22</v>
      </c>
      <c r="I16" s="17" t="s">
        <v>1363</v>
      </c>
      <c r="J16" s="17" t="s">
        <v>1362</v>
      </c>
      <c r="K16" s="17" t="s">
        <v>389</v>
      </c>
      <c r="L16" s="17" t="s">
        <v>10340</v>
      </c>
      <c r="M16" s="16" t="str">
        <f>HYPERLINK("http://slimages.macys.com/is/image/MCY/15359855 ")</f>
        <v xml:space="preserve">http://slimages.macys.com/is/image/MCY/15359855 </v>
      </c>
      <c r="N16" s="30"/>
    </row>
    <row r="17" spans="1:14" ht="60" x14ac:dyDescent="0.25">
      <c r="A17" s="19" t="s">
        <v>10339</v>
      </c>
      <c r="B17" s="17" t="s">
        <v>10338</v>
      </c>
      <c r="C17" s="20">
        <v>1</v>
      </c>
      <c r="D17" s="18">
        <v>118</v>
      </c>
      <c r="E17" s="20" t="s">
        <v>10337</v>
      </c>
      <c r="F17" s="17" t="s">
        <v>51</v>
      </c>
      <c r="G17" s="19" t="s">
        <v>682</v>
      </c>
      <c r="H17" s="18">
        <v>30.453333333333333</v>
      </c>
      <c r="I17" s="17" t="s">
        <v>133</v>
      </c>
      <c r="J17" s="17" t="s">
        <v>584</v>
      </c>
      <c r="K17" s="17"/>
      <c r="L17" s="17"/>
      <c r="M17" s="16" t="str">
        <f>HYPERLINK("http://slimages.macys.com/is/image/MCY/17880445 ")</f>
        <v xml:space="preserve">http://slimages.macys.com/is/image/MCY/17880445 </v>
      </c>
      <c r="N17" s="30"/>
    </row>
    <row r="18" spans="1:14" ht="60" x14ac:dyDescent="0.25">
      <c r="A18" s="19" t="s">
        <v>10336</v>
      </c>
      <c r="B18" s="17" t="s">
        <v>10335</v>
      </c>
      <c r="C18" s="20">
        <v>1</v>
      </c>
      <c r="D18" s="18">
        <v>168</v>
      </c>
      <c r="E18" s="20" t="s">
        <v>10334</v>
      </c>
      <c r="F18" s="17" t="s">
        <v>35</v>
      </c>
      <c r="G18" s="19" t="s">
        <v>749</v>
      </c>
      <c r="H18" s="18">
        <v>30.24</v>
      </c>
      <c r="I18" s="17" t="s">
        <v>115</v>
      </c>
      <c r="J18" s="17" t="s">
        <v>742</v>
      </c>
      <c r="K18" s="17"/>
      <c r="L18" s="17"/>
      <c r="M18" s="16" t="str">
        <f>HYPERLINK("http://slimages.macys.com/is/image/MCY/18783180 ")</f>
        <v xml:space="preserve">http://slimages.macys.com/is/image/MCY/18783180 </v>
      </c>
      <c r="N18" s="30"/>
    </row>
    <row r="19" spans="1:14" ht="60" x14ac:dyDescent="0.25">
      <c r="A19" s="19" t="s">
        <v>9952</v>
      </c>
      <c r="B19" s="17" t="s">
        <v>9951</v>
      </c>
      <c r="C19" s="20">
        <v>2</v>
      </c>
      <c r="D19" s="18">
        <v>111.75</v>
      </c>
      <c r="E19" s="20" t="s">
        <v>8892</v>
      </c>
      <c r="F19" s="17" t="s">
        <v>23</v>
      </c>
      <c r="G19" s="19" t="s">
        <v>916</v>
      </c>
      <c r="H19" s="18">
        <v>30.006666666666671</v>
      </c>
      <c r="I19" s="17" t="s">
        <v>358</v>
      </c>
      <c r="J19" s="17" t="s">
        <v>32</v>
      </c>
      <c r="K19" s="17"/>
      <c r="L19" s="17"/>
      <c r="M19" s="16" t="str">
        <f>HYPERLINK("http://slimages.macys.com/is/image/MCY/19002219 ")</f>
        <v xml:space="preserve">http://slimages.macys.com/is/image/MCY/19002219 </v>
      </c>
      <c r="N19" s="30"/>
    </row>
    <row r="20" spans="1:14" ht="60" x14ac:dyDescent="0.25">
      <c r="A20" s="19" t="s">
        <v>8889</v>
      </c>
      <c r="B20" s="17" t="s">
        <v>8888</v>
      </c>
      <c r="C20" s="20">
        <v>1</v>
      </c>
      <c r="D20" s="18">
        <v>149</v>
      </c>
      <c r="E20" s="20">
        <v>10803218</v>
      </c>
      <c r="F20" s="17" t="s">
        <v>282</v>
      </c>
      <c r="G20" s="19" t="s">
        <v>351</v>
      </c>
      <c r="H20" s="18">
        <v>29.8</v>
      </c>
      <c r="I20" s="17" t="s">
        <v>358</v>
      </c>
      <c r="J20" s="17" t="s">
        <v>554</v>
      </c>
      <c r="K20" s="17"/>
      <c r="L20" s="17"/>
      <c r="M20" s="16" t="str">
        <f>HYPERLINK("http://slimages.macys.com/is/image/MCY/18874174 ")</f>
        <v xml:space="preserve">http://slimages.macys.com/is/image/MCY/18874174 </v>
      </c>
      <c r="N20" s="30"/>
    </row>
    <row r="21" spans="1:14" ht="60" x14ac:dyDescent="0.25">
      <c r="A21" s="19" t="s">
        <v>10333</v>
      </c>
      <c r="B21" s="17" t="s">
        <v>10332</v>
      </c>
      <c r="C21" s="20">
        <v>1</v>
      </c>
      <c r="D21" s="18">
        <v>119</v>
      </c>
      <c r="E21" s="20" t="s">
        <v>10331</v>
      </c>
      <c r="F21" s="17" t="s">
        <v>51</v>
      </c>
      <c r="G21" s="19" t="s">
        <v>773</v>
      </c>
      <c r="H21" s="18">
        <v>28.800000000000004</v>
      </c>
      <c r="I21" s="17" t="s">
        <v>1363</v>
      </c>
      <c r="J21" s="17" t="s">
        <v>1362</v>
      </c>
      <c r="K21" s="17" t="s">
        <v>389</v>
      </c>
      <c r="L21" s="17" t="s">
        <v>1804</v>
      </c>
      <c r="M21" s="16" t="str">
        <f>HYPERLINK("http://slimages.macys.com/is/image/MCY/15617856 ")</f>
        <v xml:space="preserve">http://slimages.macys.com/is/image/MCY/15617856 </v>
      </c>
      <c r="N21" s="30"/>
    </row>
    <row r="22" spans="1:14" ht="60" x14ac:dyDescent="0.25">
      <c r="A22" s="19" t="s">
        <v>10330</v>
      </c>
      <c r="B22" s="17" t="s">
        <v>10329</v>
      </c>
      <c r="C22" s="20">
        <v>1</v>
      </c>
      <c r="D22" s="18">
        <v>111.75</v>
      </c>
      <c r="E22" s="20" t="s">
        <v>10328</v>
      </c>
      <c r="F22" s="17" t="s">
        <v>263</v>
      </c>
      <c r="G22" s="19" t="s">
        <v>1292</v>
      </c>
      <c r="H22" s="18">
        <v>28.126666666666669</v>
      </c>
      <c r="I22" s="17" t="s">
        <v>358</v>
      </c>
      <c r="J22" s="17" t="s">
        <v>32</v>
      </c>
      <c r="K22" s="17"/>
      <c r="L22" s="17"/>
      <c r="M22" s="16" t="str">
        <f>HYPERLINK("http://slimages.macys.com/is/image/MCY/18855740 ")</f>
        <v xml:space="preserve">http://slimages.macys.com/is/image/MCY/18855740 </v>
      </c>
      <c r="N22" s="30"/>
    </row>
    <row r="23" spans="1:14" ht="108" x14ac:dyDescent="0.25">
      <c r="A23" s="19" t="s">
        <v>10327</v>
      </c>
      <c r="B23" s="17" t="s">
        <v>10326</v>
      </c>
      <c r="C23" s="20">
        <v>1</v>
      </c>
      <c r="D23" s="18">
        <v>129</v>
      </c>
      <c r="E23" s="20" t="s">
        <v>10325</v>
      </c>
      <c r="F23" s="17" t="s">
        <v>51</v>
      </c>
      <c r="G23" s="19" t="s">
        <v>6006</v>
      </c>
      <c r="H23" s="18">
        <v>27.533333333333335</v>
      </c>
      <c r="I23" s="17" t="s">
        <v>115</v>
      </c>
      <c r="J23" s="17" t="s">
        <v>2130</v>
      </c>
      <c r="K23" s="17" t="s">
        <v>389</v>
      </c>
      <c r="L23" s="17" t="s">
        <v>10324</v>
      </c>
      <c r="M23" s="16" t="str">
        <f>HYPERLINK("http://slimages.macys.com/is/image/MCY/12801221 ")</f>
        <v xml:space="preserve">http://slimages.macys.com/is/image/MCY/12801221 </v>
      </c>
      <c r="N23" s="30"/>
    </row>
    <row r="24" spans="1:14" ht="60" x14ac:dyDescent="0.25">
      <c r="A24" s="19" t="s">
        <v>10323</v>
      </c>
      <c r="B24" s="17" t="s">
        <v>10322</v>
      </c>
      <c r="C24" s="20">
        <v>1</v>
      </c>
      <c r="D24" s="18">
        <v>139</v>
      </c>
      <c r="E24" s="20">
        <v>10760082</v>
      </c>
      <c r="F24" s="17" t="s">
        <v>51</v>
      </c>
      <c r="G24" s="19" t="s">
        <v>271</v>
      </c>
      <c r="H24" s="18">
        <v>26.873333333333331</v>
      </c>
      <c r="I24" s="17" t="s">
        <v>1307</v>
      </c>
      <c r="J24" s="17" t="s">
        <v>1306</v>
      </c>
      <c r="K24" s="17"/>
      <c r="L24" s="17"/>
      <c r="M24" s="16" t="str">
        <f>HYPERLINK("http://slimages.macys.com/is/image/MCY/17523794 ")</f>
        <v xml:space="preserve">http://slimages.macys.com/is/image/MCY/17523794 </v>
      </c>
      <c r="N24" s="30"/>
    </row>
    <row r="25" spans="1:14" ht="60" x14ac:dyDescent="0.25">
      <c r="A25" s="19" t="s">
        <v>10321</v>
      </c>
      <c r="B25" s="17" t="s">
        <v>10320</v>
      </c>
      <c r="C25" s="20">
        <v>1</v>
      </c>
      <c r="D25" s="18">
        <v>129.5</v>
      </c>
      <c r="E25" s="20" t="s">
        <v>10319</v>
      </c>
      <c r="F25" s="17" t="s">
        <v>544</v>
      </c>
      <c r="G25" s="19" t="s">
        <v>69</v>
      </c>
      <c r="H25" s="18">
        <v>26.086666666666666</v>
      </c>
      <c r="I25" s="17" t="s">
        <v>106</v>
      </c>
      <c r="J25" s="17" t="s">
        <v>105</v>
      </c>
      <c r="K25" s="17"/>
      <c r="L25" s="17"/>
      <c r="M25" s="16" t="str">
        <f>HYPERLINK("http://slimages.macys.com/is/image/MCY/18475640 ")</f>
        <v xml:space="preserve">http://slimages.macys.com/is/image/MCY/18475640 </v>
      </c>
      <c r="N25" s="30"/>
    </row>
    <row r="26" spans="1:14" ht="60" x14ac:dyDescent="0.25">
      <c r="A26" s="19" t="s">
        <v>8802</v>
      </c>
      <c r="B26" s="17" t="s">
        <v>8801</v>
      </c>
      <c r="C26" s="20">
        <v>1</v>
      </c>
      <c r="D26" s="18">
        <v>129</v>
      </c>
      <c r="E26" s="20">
        <v>10762370</v>
      </c>
      <c r="F26" s="17" t="s">
        <v>28</v>
      </c>
      <c r="G26" s="19" t="s">
        <v>271</v>
      </c>
      <c r="H26" s="18">
        <v>25.8</v>
      </c>
      <c r="I26" s="17" t="s">
        <v>358</v>
      </c>
      <c r="J26" s="17" t="s">
        <v>554</v>
      </c>
      <c r="K26" s="17"/>
      <c r="L26" s="17"/>
      <c r="M26" s="16" t="str">
        <f>HYPERLINK("http://slimages.macys.com/is/image/MCY/16878387 ")</f>
        <v xml:space="preserve">http://slimages.macys.com/is/image/MCY/16878387 </v>
      </c>
      <c r="N26" s="30"/>
    </row>
    <row r="27" spans="1:14" ht="60" x14ac:dyDescent="0.25">
      <c r="A27" s="19" t="s">
        <v>10318</v>
      </c>
      <c r="B27" s="17" t="s">
        <v>10317</v>
      </c>
      <c r="C27" s="20">
        <v>1</v>
      </c>
      <c r="D27" s="18">
        <v>88</v>
      </c>
      <c r="E27" s="20" t="s">
        <v>10316</v>
      </c>
      <c r="F27" s="17" t="s">
        <v>23</v>
      </c>
      <c r="G27" s="19" t="s">
        <v>197</v>
      </c>
      <c r="H27" s="18">
        <v>24.366666666666667</v>
      </c>
      <c r="I27" s="17" t="s">
        <v>153</v>
      </c>
      <c r="J27" s="17" t="s">
        <v>7808</v>
      </c>
      <c r="K27" s="17" t="s">
        <v>4105</v>
      </c>
      <c r="L27" s="17" t="s">
        <v>4104</v>
      </c>
      <c r="M27" s="16" t="str">
        <f>HYPERLINK("http://slimages.macys.com/is/image/MCY/9415373 ")</f>
        <v xml:space="preserve">http://slimages.macys.com/is/image/MCY/9415373 </v>
      </c>
      <c r="N27" s="30"/>
    </row>
    <row r="28" spans="1:14" ht="60" x14ac:dyDescent="0.25">
      <c r="A28" s="19" t="s">
        <v>8773</v>
      </c>
      <c r="B28" s="17" t="s">
        <v>8772</v>
      </c>
      <c r="C28" s="20">
        <v>1</v>
      </c>
      <c r="D28" s="18">
        <v>119.5</v>
      </c>
      <c r="E28" s="20" t="s">
        <v>2946</v>
      </c>
      <c r="F28" s="17" t="s">
        <v>23</v>
      </c>
      <c r="G28" s="19" t="s">
        <v>62</v>
      </c>
      <c r="H28" s="18">
        <v>24.073333333333334</v>
      </c>
      <c r="I28" s="17" t="s">
        <v>106</v>
      </c>
      <c r="J28" s="17" t="s">
        <v>105</v>
      </c>
      <c r="K28" s="17"/>
      <c r="L28" s="17"/>
      <c r="M28" s="16" t="str">
        <f>HYPERLINK("http://slimages.macys.com/is/image/MCY/19026978 ")</f>
        <v xml:space="preserve">http://slimages.macys.com/is/image/MCY/19026978 </v>
      </c>
      <c r="N28" s="30"/>
    </row>
    <row r="29" spans="1:14" ht="60" x14ac:dyDescent="0.25">
      <c r="A29" s="19" t="s">
        <v>10315</v>
      </c>
      <c r="B29" s="17" t="s">
        <v>10314</v>
      </c>
      <c r="C29" s="20">
        <v>1</v>
      </c>
      <c r="D29" s="18">
        <v>129</v>
      </c>
      <c r="E29" s="20" t="s">
        <v>10313</v>
      </c>
      <c r="F29" s="17" t="s">
        <v>544</v>
      </c>
      <c r="G29" s="19" t="s">
        <v>96</v>
      </c>
      <c r="H29" s="18">
        <v>23.82</v>
      </c>
      <c r="I29" s="17" t="s">
        <v>405</v>
      </c>
      <c r="J29" s="17" t="s">
        <v>404</v>
      </c>
      <c r="K29" s="17"/>
      <c r="L29" s="17"/>
      <c r="M29" s="16" t="str">
        <f>HYPERLINK("http://slimages.macys.com/is/image/MCY/18650570 ")</f>
        <v xml:space="preserve">http://slimages.macys.com/is/image/MCY/18650570 </v>
      </c>
      <c r="N29" s="30"/>
    </row>
    <row r="30" spans="1:14" ht="60" x14ac:dyDescent="0.25">
      <c r="A30" s="19" t="s">
        <v>10312</v>
      </c>
      <c r="B30" s="17" t="s">
        <v>10311</v>
      </c>
      <c r="C30" s="20">
        <v>1</v>
      </c>
      <c r="D30" s="18">
        <v>119</v>
      </c>
      <c r="E30" s="20" t="s">
        <v>2925</v>
      </c>
      <c r="F30" s="17" t="s">
        <v>58</v>
      </c>
      <c r="G30" s="19" t="s">
        <v>857</v>
      </c>
      <c r="H30" s="18">
        <v>23.8</v>
      </c>
      <c r="I30" s="17" t="s">
        <v>678</v>
      </c>
      <c r="J30" s="17" t="s">
        <v>404</v>
      </c>
      <c r="K30" s="17"/>
      <c r="L30" s="17"/>
      <c r="M30" s="16" t="str">
        <f>HYPERLINK("http://slimages.macys.com/is/image/MCY/19101028 ")</f>
        <v xml:space="preserve">http://slimages.macys.com/is/image/MCY/19101028 </v>
      </c>
      <c r="N30" s="30"/>
    </row>
    <row r="31" spans="1:14" ht="60" x14ac:dyDescent="0.25">
      <c r="A31" s="19" t="s">
        <v>10310</v>
      </c>
      <c r="B31" s="17" t="s">
        <v>10309</v>
      </c>
      <c r="C31" s="20">
        <v>1</v>
      </c>
      <c r="D31" s="18">
        <v>98</v>
      </c>
      <c r="E31" s="20" t="s">
        <v>8760</v>
      </c>
      <c r="F31" s="17" t="s">
        <v>1536</v>
      </c>
      <c r="G31" s="19" t="s">
        <v>898</v>
      </c>
      <c r="H31" s="18">
        <v>23.380000000000003</v>
      </c>
      <c r="I31" s="17" t="s">
        <v>133</v>
      </c>
      <c r="J31" s="17" t="s">
        <v>584</v>
      </c>
      <c r="K31" s="17"/>
      <c r="L31" s="17"/>
      <c r="M31" s="16" t="str">
        <f>HYPERLINK("http://slimages.macys.com/is/image/MCY/18772530 ")</f>
        <v xml:space="preserve">http://slimages.macys.com/is/image/MCY/18772530 </v>
      </c>
      <c r="N31" s="30"/>
    </row>
    <row r="32" spans="1:14" ht="60" x14ac:dyDescent="0.25">
      <c r="A32" s="19" t="s">
        <v>10308</v>
      </c>
      <c r="B32" s="17" t="s">
        <v>10307</v>
      </c>
      <c r="C32" s="20">
        <v>1</v>
      </c>
      <c r="D32" s="18">
        <v>139</v>
      </c>
      <c r="E32" s="20">
        <v>10769418</v>
      </c>
      <c r="F32" s="17" t="s">
        <v>390</v>
      </c>
      <c r="G32" s="19" t="s">
        <v>271</v>
      </c>
      <c r="H32" s="18">
        <v>23.166666666666668</v>
      </c>
      <c r="I32" s="17" t="s">
        <v>1307</v>
      </c>
      <c r="J32" s="17" t="s">
        <v>1306</v>
      </c>
      <c r="K32" s="17"/>
      <c r="L32" s="17"/>
      <c r="M32" s="16" t="str">
        <f>HYPERLINK("http://slimages.macys.com/is/image/MCY/18703501 ")</f>
        <v xml:space="preserve">http://slimages.macys.com/is/image/MCY/18703501 </v>
      </c>
      <c r="N32" s="30"/>
    </row>
    <row r="33" spans="1:14" ht="60" x14ac:dyDescent="0.25">
      <c r="A33" s="19" t="s">
        <v>10306</v>
      </c>
      <c r="B33" s="17" t="s">
        <v>10305</v>
      </c>
      <c r="C33" s="20">
        <v>1</v>
      </c>
      <c r="D33" s="18">
        <v>139</v>
      </c>
      <c r="E33" s="20">
        <v>7099908</v>
      </c>
      <c r="F33" s="17" t="s">
        <v>91</v>
      </c>
      <c r="G33" s="19" t="s">
        <v>62</v>
      </c>
      <c r="H33" s="18">
        <v>23.166666666666668</v>
      </c>
      <c r="I33" s="17" t="s">
        <v>111</v>
      </c>
      <c r="J33" s="17" t="s">
        <v>110</v>
      </c>
      <c r="K33" s="17" t="s">
        <v>389</v>
      </c>
      <c r="L33" s="17" t="s">
        <v>1359</v>
      </c>
      <c r="M33" s="16" t="str">
        <f>HYPERLINK("http://slimages.macys.com/is/image/MCY/12404574 ")</f>
        <v xml:space="preserve">http://slimages.macys.com/is/image/MCY/12404574 </v>
      </c>
      <c r="N33" s="30"/>
    </row>
    <row r="34" spans="1:14" ht="60" x14ac:dyDescent="0.25">
      <c r="A34" s="19" t="s">
        <v>10304</v>
      </c>
      <c r="B34" s="17" t="s">
        <v>10303</v>
      </c>
      <c r="C34" s="20">
        <v>1</v>
      </c>
      <c r="D34" s="18">
        <v>119</v>
      </c>
      <c r="E34" s="20">
        <v>10749760</v>
      </c>
      <c r="F34" s="17" t="s">
        <v>23</v>
      </c>
      <c r="G34" s="19" t="s">
        <v>96</v>
      </c>
      <c r="H34" s="18">
        <v>22.606666666666669</v>
      </c>
      <c r="I34" s="17" t="s">
        <v>120</v>
      </c>
      <c r="J34" s="17" t="s">
        <v>119</v>
      </c>
      <c r="K34" s="17"/>
      <c r="L34" s="17"/>
      <c r="M34" s="16" t="str">
        <f>HYPERLINK("http://slimages.macys.com/is/image/MCY/16842900 ")</f>
        <v xml:space="preserve">http://slimages.macys.com/is/image/MCY/16842900 </v>
      </c>
      <c r="N34" s="30"/>
    </row>
    <row r="35" spans="1:14" ht="96" x14ac:dyDescent="0.25">
      <c r="A35" s="19" t="s">
        <v>10302</v>
      </c>
      <c r="B35" s="17" t="s">
        <v>10301</v>
      </c>
      <c r="C35" s="20">
        <v>1</v>
      </c>
      <c r="D35" s="18">
        <v>79</v>
      </c>
      <c r="E35" s="20">
        <v>10695504</v>
      </c>
      <c r="F35" s="17" t="s">
        <v>51</v>
      </c>
      <c r="G35" s="19" t="s">
        <v>1191</v>
      </c>
      <c r="H35" s="18">
        <v>22.12</v>
      </c>
      <c r="I35" s="17" t="s">
        <v>358</v>
      </c>
      <c r="J35" s="17" t="s">
        <v>143</v>
      </c>
      <c r="K35" s="17" t="s">
        <v>389</v>
      </c>
      <c r="L35" s="17" t="s">
        <v>3972</v>
      </c>
      <c r="M35" s="16" t="str">
        <f>HYPERLINK("http://slimages.macys.com/is/image/MCY/9988589 ")</f>
        <v xml:space="preserve">http://slimages.macys.com/is/image/MCY/9988589 </v>
      </c>
      <c r="N35" s="30"/>
    </row>
    <row r="36" spans="1:14" ht="96" x14ac:dyDescent="0.25">
      <c r="A36" s="19" t="s">
        <v>3974</v>
      </c>
      <c r="B36" s="17" t="s">
        <v>3973</v>
      </c>
      <c r="C36" s="20">
        <v>1</v>
      </c>
      <c r="D36" s="18">
        <v>79</v>
      </c>
      <c r="E36" s="20">
        <v>10695504</v>
      </c>
      <c r="F36" s="17" t="s">
        <v>51</v>
      </c>
      <c r="G36" s="19" t="s">
        <v>880</v>
      </c>
      <c r="H36" s="18">
        <v>22.12</v>
      </c>
      <c r="I36" s="17" t="s">
        <v>358</v>
      </c>
      <c r="J36" s="17" t="s">
        <v>143</v>
      </c>
      <c r="K36" s="17" t="s">
        <v>389</v>
      </c>
      <c r="L36" s="17" t="s">
        <v>3972</v>
      </c>
      <c r="M36" s="16" t="str">
        <f>HYPERLINK("http://slimages.macys.com/is/image/MCY/9988589 ")</f>
        <v xml:space="preserve">http://slimages.macys.com/is/image/MCY/9988589 </v>
      </c>
      <c r="N36" s="30"/>
    </row>
    <row r="37" spans="1:14" ht="60" x14ac:dyDescent="0.25">
      <c r="A37" s="19" t="s">
        <v>10300</v>
      </c>
      <c r="B37" s="17" t="s">
        <v>10299</v>
      </c>
      <c r="C37" s="20">
        <v>1</v>
      </c>
      <c r="D37" s="18">
        <v>98</v>
      </c>
      <c r="E37" s="20" t="s">
        <v>3948</v>
      </c>
      <c r="F37" s="17" t="s">
        <v>508</v>
      </c>
      <c r="G37" s="19" t="s">
        <v>50</v>
      </c>
      <c r="H37" s="18">
        <v>21.626666666666669</v>
      </c>
      <c r="I37" s="17" t="s">
        <v>49</v>
      </c>
      <c r="J37" s="17" t="s">
        <v>48</v>
      </c>
      <c r="K37" s="17"/>
      <c r="L37" s="17"/>
      <c r="M37" s="16" t="str">
        <f>HYPERLINK("http://slimages.macys.com/is/image/MCY/19176248 ")</f>
        <v xml:space="preserve">http://slimages.macys.com/is/image/MCY/19176248 </v>
      </c>
      <c r="N37" s="30"/>
    </row>
    <row r="38" spans="1:14" ht="108" x14ac:dyDescent="0.25">
      <c r="A38" s="19" t="s">
        <v>10298</v>
      </c>
      <c r="B38" s="17" t="s">
        <v>10297</v>
      </c>
      <c r="C38" s="20">
        <v>1</v>
      </c>
      <c r="D38" s="18">
        <v>119</v>
      </c>
      <c r="E38" s="20" t="s">
        <v>10296</v>
      </c>
      <c r="F38" s="17" t="s">
        <v>58</v>
      </c>
      <c r="G38" s="19" t="s">
        <v>1862</v>
      </c>
      <c r="H38" s="18">
        <v>21.333333333333336</v>
      </c>
      <c r="I38" s="17" t="s">
        <v>1363</v>
      </c>
      <c r="J38" s="17" t="s">
        <v>1362</v>
      </c>
      <c r="K38" s="17" t="s">
        <v>389</v>
      </c>
      <c r="L38" s="17" t="s">
        <v>6877</v>
      </c>
      <c r="M38" s="16" t="str">
        <f>HYPERLINK("http://slimages.macys.com/is/image/MCY/16328030 ")</f>
        <v xml:space="preserve">http://slimages.macys.com/is/image/MCY/16328030 </v>
      </c>
      <c r="N38" s="30"/>
    </row>
    <row r="39" spans="1:14" ht="60" x14ac:dyDescent="0.25">
      <c r="A39" s="19" t="s">
        <v>10295</v>
      </c>
      <c r="B39" s="17" t="s">
        <v>10294</v>
      </c>
      <c r="C39" s="20">
        <v>1</v>
      </c>
      <c r="D39" s="18">
        <v>98</v>
      </c>
      <c r="E39" s="20" t="s">
        <v>10293</v>
      </c>
      <c r="F39" s="17" t="s">
        <v>206</v>
      </c>
      <c r="G39" s="19"/>
      <c r="H39" s="18">
        <v>20.92</v>
      </c>
      <c r="I39" s="17" t="s">
        <v>49</v>
      </c>
      <c r="J39" s="17" t="s">
        <v>48</v>
      </c>
      <c r="K39" s="17"/>
      <c r="L39" s="17"/>
      <c r="M39" s="16" t="str">
        <f>HYPERLINK("http://slimages.macys.com/is/image/MCY/17597265 ")</f>
        <v xml:space="preserve">http://slimages.macys.com/is/image/MCY/17597265 </v>
      </c>
      <c r="N39" s="30"/>
    </row>
    <row r="40" spans="1:14" ht="60" x14ac:dyDescent="0.25">
      <c r="A40" s="19" t="s">
        <v>10292</v>
      </c>
      <c r="B40" s="17" t="s">
        <v>10291</v>
      </c>
      <c r="C40" s="20">
        <v>1</v>
      </c>
      <c r="D40" s="18">
        <v>68</v>
      </c>
      <c r="E40" s="20" t="s">
        <v>10290</v>
      </c>
      <c r="F40" s="17" t="s">
        <v>44</v>
      </c>
      <c r="G40" s="19" t="s">
        <v>69</v>
      </c>
      <c r="H40" s="18">
        <v>20.9</v>
      </c>
      <c r="I40" s="17" t="s">
        <v>153</v>
      </c>
      <c r="J40" s="17" t="s">
        <v>153</v>
      </c>
      <c r="K40" s="17"/>
      <c r="L40" s="17"/>
      <c r="M40" s="16" t="str">
        <f>HYPERLINK("http://slimages.macys.com/is/image/MCY/16613098 ")</f>
        <v xml:space="preserve">http://slimages.macys.com/is/image/MCY/16613098 </v>
      </c>
      <c r="N40" s="30"/>
    </row>
    <row r="41" spans="1:14" ht="96" x14ac:dyDescent="0.25">
      <c r="A41" s="19" t="s">
        <v>10289</v>
      </c>
      <c r="B41" s="17" t="s">
        <v>10288</v>
      </c>
      <c r="C41" s="20">
        <v>1</v>
      </c>
      <c r="D41" s="18">
        <v>119</v>
      </c>
      <c r="E41" s="20" t="s">
        <v>1348</v>
      </c>
      <c r="F41" s="17" t="s">
        <v>562</v>
      </c>
      <c r="G41" s="19" t="s">
        <v>1402</v>
      </c>
      <c r="H41" s="18">
        <v>20.666666666666668</v>
      </c>
      <c r="I41" s="17" t="s">
        <v>550</v>
      </c>
      <c r="J41" s="17" t="s">
        <v>1090</v>
      </c>
      <c r="K41" s="17" t="s">
        <v>389</v>
      </c>
      <c r="L41" s="17" t="s">
        <v>1347</v>
      </c>
      <c r="M41" s="16" t="str">
        <f>HYPERLINK("http://slimages.macys.com/is/image/MCY/9798063 ")</f>
        <v xml:space="preserve">http://slimages.macys.com/is/image/MCY/9798063 </v>
      </c>
      <c r="N41" s="30"/>
    </row>
    <row r="42" spans="1:14" ht="108" x14ac:dyDescent="0.25">
      <c r="A42" s="19" t="s">
        <v>10287</v>
      </c>
      <c r="B42" s="17" t="s">
        <v>10286</v>
      </c>
      <c r="C42" s="20">
        <v>1</v>
      </c>
      <c r="D42" s="18">
        <v>119</v>
      </c>
      <c r="E42" s="20" t="s">
        <v>10285</v>
      </c>
      <c r="F42" s="17"/>
      <c r="G42" s="19" t="s">
        <v>1402</v>
      </c>
      <c r="H42" s="18">
        <v>20.666666666666668</v>
      </c>
      <c r="I42" s="17" t="s">
        <v>550</v>
      </c>
      <c r="J42" s="17" t="s">
        <v>1090</v>
      </c>
      <c r="K42" s="17" t="s">
        <v>389</v>
      </c>
      <c r="L42" s="17" t="s">
        <v>10284</v>
      </c>
      <c r="M42" s="16" t="str">
        <f>HYPERLINK("http://slimages.macys.com/is/image/MCY/15102686 ")</f>
        <v xml:space="preserve">http://slimages.macys.com/is/image/MCY/15102686 </v>
      </c>
      <c r="N42" s="30"/>
    </row>
    <row r="43" spans="1:14" ht="60" x14ac:dyDescent="0.25">
      <c r="A43" s="19" t="s">
        <v>5981</v>
      </c>
      <c r="B43" s="17" t="s">
        <v>5980</v>
      </c>
      <c r="C43" s="20">
        <v>2</v>
      </c>
      <c r="D43" s="18">
        <v>81.75</v>
      </c>
      <c r="E43" s="20" t="s">
        <v>3926</v>
      </c>
      <c r="F43" s="17" t="s">
        <v>1382</v>
      </c>
      <c r="G43" s="19" t="s">
        <v>1445</v>
      </c>
      <c r="H43" s="18">
        <v>20.573333333333334</v>
      </c>
      <c r="I43" s="17" t="s">
        <v>358</v>
      </c>
      <c r="J43" s="17" t="s">
        <v>32</v>
      </c>
      <c r="K43" s="17"/>
      <c r="L43" s="17"/>
      <c r="M43" s="16" t="str">
        <f>HYPERLINK("http://slimages.macys.com/is/image/MCY/19254769 ")</f>
        <v xml:space="preserve">http://slimages.macys.com/is/image/MCY/19254769 </v>
      </c>
      <c r="N43" s="30"/>
    </row>
    <row r="44" spans="1:14" ht="84" x14ac:dyDescent="0.25">
      <c r="A44" s="19" t="s">
        <v>10283</v>
      </c>
      <c r="B44" s="17" t="s">
        <v>10282</v>
      </c>
      <c r="C44" s="20">
        <v>1</v>
      </c>
      <c r="D44" s="18">
        <v>49</v>
      </c>
      <c r="E44" s="20">
        <v>10722972</v>
      </c>
      <c r="F44" s="17" t="s">
        <v>2324</v>
      </c>
      <c r="G44" s="19" t="s">
        <v>57</v>
      </c>
      <c r="H44" s="18">
        <v>20.46</v>
      </c>
      <c r="I44" s="17" t="s">
        <v>144</v>
      </c>
      <c r="J44" s="17" t="s">
        <v>143</v>
      </c>
      <c r="K44" s="17" t="s">
        <v>389</v>
      </c>
      <c r="L44" s="17" t="s">
        <v>1154</v>
      </c>
      <c r="M44" s="16" t="str">
        <f>HYPERLINK("http://slimages.macys.com/is/image/MCY/9348859 ")</f>
        <v xml:space="preserve">http://slimages.macys.com/is/image/MCY/9348859 </v>
      </c>
      <c r="N44" s="30"/>
    </row>
    <row r="45" spans="1:14" ht="60" x14ac:dyDescent="0.25">
      <c r="A45" s="19" t="s">
        <v>10281</v>
      </c>
      <c r="B45" s="17" t="s">
        <v>10280</v>
      </c>
      <c r="C45" s="20">
        <v>1</v>
      </c>
      <c r="D45" s="18">
        <v>89</v>
      </c>
      <c r="E45" s="20" t="s">
        <v>10279</v>
      </c>
      <c r="F45" s="17" t="s">
        <v>716</v>
      </c>
      <c r="G45" s="19" t="s">
        <v>22</v>
      </c>
      <c r="H45" s="18">
        <v>19.64</v>
      </c>
      <c r="I45" s="17" t="s">
        <v>49</v>
      </c>
      <c r="J45" s="17" t="s">
        <v>48</v>
      </c>
      <c r="K45" s="17"/>
      <c r="L45" s="17"/>
      <c r="M45" s="16" t="str">
        <f>HYPERLINK("http://slimages.macys.com/is/image/MCY/19136711 ")</f>
        <v xml:space="preserve">http://slimages.macys.com/is/image/MCY/19136711 </v>
      </c>
      <c r="N45" s="30"/>
    </row>
    <row r="46" spans="1:14" ht="60" x14ac:dyDescent="0.25">
      <c r="A46" s="19" t="s">
        <v>10278</v>
      </c>
      <c r="B46" s="17" t="s">
        <v>10277</v>
      </c>
      <c r="C46" s="20">
        <v>1</v>
      </c>
      <c r="D46" s="18">
        <v>65</v>
      </c>
      <c r="E46" s="20" t="s">
        <v>10276</v>
      </c>
      <c r="F46" s="17" t="s">
        <v>51</v>
      </c>
      <c r="G46" s="19" t="s">
        <v>101</v>
      </c>
      <c r="H46" s="18">
        <v>19.633333333333333</v>
      </c>
      <c r="I46" s="17" t="s">
        <v>16</v>
      </c>
      <c r="J46" s="17" t="s">
        <v>15</v>
      </c>
      <c r="K46" s="17" t="s">
        <v>389</v>
      </c>
      <c r="L46" s="17" t="s">
        <v>1129</v>
      </c>
      <c r="M46" s="16" t="str">
        <f>HYPERLINK("http://slimages.macys.com/is/image/MCY/14307811 ")</f>
        <v xml:space="preserve">http://slimages.macys.com/is/image/MCY/14307811 </v>
      </c>
      <c r="N46" s="30"/>
    </row>
    <row r="47" spans="1:14" ht="60" x14ac:dyDescent="0.25">
      <c r="A47" s="19" t="s">
        <v>10275</v>
      </c>
      <c r="B47" s="17" t="s">
        <v>10274</v>
      </c>
      <c r="C47" s="20">
        <v>1</v>
      </c>
      <c r="D47" s="18">
        <v>99</v>
      </c>
      <c r="E47" s="20">
        <v>10758722</v>
      </c>
      <c r="F47" s="17" t="s">
        <v>23</v>
      </c>
      <c r="G47" s="19" t="s">
        <v>1292</v>
      </c>
      <c r="H47" s="18">
        <v>19.14</v>
      </c>
      <c r="I47" s="17" t="s">
        <v>1307</v>
      </c>
      <c r="J47" s="17" t="s">
        <v>1306</v>
      </c>
      <c r="K47" s="17"/>
      <c r="L47" s="17"/>
      <c r="M47" s="16" t="str">
        <f>HYPERLINK("http://slimages.macys.com/is/image/MCY/17505008 ")</f>
        <v xml:space="preserve">http://slimages.macys.com/is/image/MCY/17505008 </v>
      </c>
      <c r="N47" s="30"/>
    </row>
    <row r="48" spans="1:14" ht="60" x14ac:dyDescent="0.25">
      <c r="A48" s="19" t="s">
        <v>2864</v>
      </c>
      <c r="B48" s="17" t="s">
        <v>2863</v>
      </c>
      <c r="C48" s="20">
        <v>1</v>
      </c>
      <c r="D48" s="18">
        <v>89</v>
      </c>
      <c r="E48" s="20">
        <v>7069229</v>
      </c>
      <c r="F48" s="17" t="s">
        <v>508</v>
      </c>
      <c r="G48" s="19" t="s">
        <v>62</v>
      </c>
      <c r="H48" s="18">
        <v>18.986666666666668</v>
      </c>
      <c r="I48" s="17" t="s">
        <v>111</v>
      </c>
      <c r="J48" s="17" t="s">
        <v>110</v>
      </c>
      <c r="K48" s="17" t="s">
        <v>389</v>
      </c>
      <c r="L48" s="17" t="s">
        <v>2860</v>
      </c>
      <c r="M48" s="16" t="str">
        <f>HYPERLINK("http://slimages.macys.com/is/image/MCY/15239598 ")</f>
        <v xml:space="preserve">http://slimages.macys.com/is/image/MCY/15239598 </v>
      </c>
      <c r="N48" s="30"/>
    </row>
    <row r="49" spans="1:14" ht="60" x14ac:dyDescent="0.25">
      <c r="A49" s="19" t="s">
        <v>10273</v>
      </c>
      <c r="B49" s="17" t="s">
        <v>10272</v>
      </c>
      <c r="C49" s="20">
        <v>1</v>
      </c>
      <c r="D49" s="18">
        <v>89</v>
      </c>
      <c r="E49" s="20">
        <v>9299365</v>
      </c>
      <c r="F49" s="17" t="s">
        <v>91</v>
      </c>
      <c r="G49" s="19" t="s">
        <v>1336</v>
      </c>
      <c r="H49" s="18">
        <v>18.96</v>
      </c>
      <c r="I49" s="17" t="s">
        <v>138</v>
      </c>
      <c r="J49" s="17" t="s">
        <v>137</v>
      </c>
      <c r="K49" s="17" t="s">
        <v>389</v>
      </c>
      <c r="L49" s="17" t="s">
        <v>662</v>
      </c>
      <c r="M49" s="16" t="str">
        <f>HYPERLINK("http://slimages.macys.com/is/image/MCY/11382270 ")</f>
        <v xml:space="preserve">http://slimages.macys.com/is/image/MCY/11382270 </v>
      </c>
      <c r="N49" s="30"/>
    </row>
    <row r="50" spans="1:14" ht="60" x14ac:dyDescent="0.25">
      <c r="A50" s="19" t="s">
        <v>10271</v>
      </c>
      <c r="B50" s="17" t="s">
        <v>10270</v>
      </c>
      <c r="C50" s="20">
        <v>1</v>
      </c>
      <c r="D50" s="18">
        <v>74.25</v>
      </c>
      <c r="E50" s="20" t="s">
        <v>6754</v>
      </c>
      <c r="F50" s="17" t="s">
        <v>28</v>
      </c>
      <c r="G50" s="19" t="s">
        <v>1445</v>
      </c>
      <c r="H50" s="18">
        <v>18.68</v>
      </c>
      <c r="I50" s="17" t="s">
        <v>358</v>
      </c>
      <c r="J50" s="17" t="s">
        <v>32</v>
      </c>
      <c r="K50" s="17"/>
      <c r="L50" s="17"/>
      <c r="M50" s="16" t="str">
        <f>HYPERLINK("http://slimages.macys.com/is/image/MCY/18995753 ")</f>
        <v xml:space="preserve">http://slimages.macys.com/is/image/MCY/18995753 </v>
      </c>
      <c r="N50" s="30"/>
    </row>
    <row r="51" spans="1:14" ht="120" x14ac:dyDescent="0.25">
      <c r="A51" s="19" t="s">
        <v>5926</v>
      </c>
      <c r="B51" s="17" t="s">
        <v>5925</v>
      </c>
      <c r="C51" s="20">
        <v>1</v>
      </c>
      <c r="D51" s="18">
        <v>74.25</v>
      </c>
      <c r="E51" s="20" t="s">
        <v>2848</v>
      </c>
      <c r="F51" s="17" t="s">
        <v>35</v>
      </c>
      <c r="G51" s="19" t="s">
        <v>1292</v>
      </c>
      <c r="H51" s="18">
        <v>18.559999999999999</v>
      </c>
      <c r="I51" s="17" t="s">
        <v>358</v>
      </c>
      <c r="J51" s="17" t="s">
        <v>32</v>
      </c>
      <c r="K51" s="17" t="s">
        <v>389</v>
      </c>
      <c r="L51" s="17" t="s">
        <v>2847</v>
      </c>
      <c r="M51" s="16" t="str">
        <f>HYPERLINK("http://slimages.macys.com/is/image/MCY/16092106 ")</f>
        <v xml:space="preserve">http://slimages.macys.com/is/image/MCY/16092106 </v>
      </c>
      <c r="N51" s="30"/>
    </row>
    <row r="52" spans="1:14" ht="60" x14ac:dyDescent="0.25">
      <c r="A52" s="19" t="s">
        <v>10269</v>
      </c>
      <c r="B52" s="17" t="s">
        <v>10268</v>
      </c>
      <c r="C52" s="20">
        <v>2</v>
      </c>
      <c r="D52" s="18">
        <v>89</v>
      </c>
      <c r="E52" s="20">
        <v>10745176</v>
      </c>
      <c r="F52" s="17" t="s">
        <v>51</v>
      </c>
      <c r="G52" s="19" t="s">
        <v>857</v>
      </c>
      <c r="H52" s="18">
        <v>18.393333333333334</v>
      </c>
      <c r="I52" s="17" t="s">
        <v>120</v>
      </c>
      <c r="J52" s="17" t="s">
        <v>119</v>
      </c>
      <c r="K52" s="17" t="s">
        <v>389</v>
      </c>
      <c r="L52" s="17" t="s">
        <v>662</v>
      </c>
      <c r="M52" s="16" t="str">
        <f>HYPERLINK("http://slimages.macys.com/is/image/MCY/16151088 ")</f>
        <v xml:space="preserve">http://slimages.macys.com/is/image/MCY/16151088 </v>
      </c>
      <c r="N52" s="30"/>
    </row>
    <row r="53" spans="1:14" ht="60" x14ac:dyDescent="0.25">
      <c r="A53" s="19" t="s">
        <v>10267</v>
      </c>
      <c r="B53" s="17" t="s">
        <v>10266</v>
      </c>
      <c r="C53" s="20">
        <v>1</v>
      </c>
      <c r="D53" s="18">
        <v>89</v>
      </c>
      <c r="E53" s="20">
        <v>10568976</v>
      </c>
      <c r="F53" s="17" t="s">
        <v>51</v>
      </c>
      <c r="G53" s="19" t="s">
        <v>1292</v>
      </c>
      <c r="H53" s="18">
        <v>18.393333333333334</v>
      </c>
      <c r="I53" s="17" t="s">
        <v>1307</v>
      </c>
      <c r="J53" s="17" t="s">
        <v>1306</v>
      </c>
      <c r="K53" s="17" t="s">
        <v>389</v>
      </c>
      <c r="L53" s="17" t="s">
        <v>5074</v>
      </c>
      <c r="M53" s="16" t="str">
        <f>HYPERLINK("http://slimages.macys.com/is/image/MCY/8176010 ")</f>
        <v xml:space="preserve">http://slimages.macys.com/is/image/MCY/8176010 </v>
      </c>
      <c r="N53" s="30"/>
    </row>
    <row r="54" spans="1:14" ht="60" x14ac:dyDescent="0.25">
      <c r="A54" s="19" t="s">
        <v>10265</v>
      </c>
      <c r="B54" s="17" t="s">
        <v>10264</v>
      </c>
      <c r="C54" s="20">
        <v>1</v>
      </c>
      <c r="D54" s="18">
        <v>60</v>
      </c>
      <c r="E54" s="20" t="s">
        <v>10261</v>
      </c>
      <c r="F54" s="17" t="s">
        <v>51</v>
      </c>
      <c r="G54" s="19" t="s">
        <v>50</v>
      </c>
      <c r="H54" s="18">
        <v>18.133333333333336</v>
      </c>
      <c r="I54" s="17" t="s">
        <v>16</v>
      </c>
      <c r="J54" s="17" t="s">
        <v>15</v>
      </c>
      <c r="K54" s="17" t="s">
        <v>389</v>
      </c>
      <c r="L54" s="17" t="s">
        <v>1359</v>
      </c>
      <c r="M54" s="16" t="str">
        <f>HYPERLINK("http://slimages.macys.com/is/image/MCY/14308226 ")</f>
        <v xml:space="preserve">http://slimages.macys.com/is/image/MCY/14308226 </v>
      </c>
      <c r="N54" s="30"/>
    </row>
    <row r="55" spans="1:14" ht="60" x14ac:dyDescent="0.25">
      <c r="A55" s="19" t="s">
        <v>10263</v>
      </c>
      <c r="B55" s="17" t="s">
        <v>10262</v>
      </c>
      <c r="C55" s="20">
        <v>1</v>
      </c>
      <c r="D55" s="18">
        <v>60</v>
      </c>
      <c r="E55" s="20" t="s">
        <v>10261</v>
      </c>
      <c r="F55" s="17" t="s">
        <v>51</v>
      </c>
      <c r="G55" s="19" t="s">
        <v>22</v>
      </c>
      <c r="H55" s="18">
        <v>18.133333333333336</v>
      </c>
      <c r="I55" s="17" t="s">
        <v>16</v>
      </c>
      <c r="J55" s="17" t="s">
        <v>15</v>
      </c>
      <c r="K55" s="17" t="s">
        <v>389</v>
      </c>
      <c r="L55" s="17" t="s">
        <v>1359</v>
      </c>
      <c r="M55" s="16" t="str">
        <f>HYPERLINK("http://slimages.macys.com/is/image/MCY/14308226 ")</f>
        <v xml:space="preserve">http://slimages.macys.com/is/image/MCY/14308226 </v>
      </c>
      <c r="N55" s="30"/>
    </row>
    <row r="56" spans="1:14" ht="60" x14ac:dyDescent="0.25">
      <c r="A56" s="19" t="s">
        <v>10260</v>
      </c>
      <c r="B56" s="17" t="s">
        <v>10259</v>
      </c>
      <c r="C56" s="20">
        <v>1</v>
      </c>
      <c r="D56" s="18">
        <v>89.5</v>
      </c>
      <c r="E56" s="20" t="s">
        <v>10258</v>
      </c>
      <c r="F56" s="17" t="s">
        <v>23</v>
      </c>
      <c r="G56" s="19" t="s">
        <v>69</v>
      </c>
      <c r="H56" s="18">
        <v>18.033333333333335</v>
      </c>
      <c r="I56" s="17" t="s">
        <v>106</v>
      </c>
      <c r="J56" s="17" t="s">
        <v>105</v>
      </c>
      <c r="K56" s="17"/>
      <c r="L56" s="17"/>
      <c r="M56" s="16" t="str">
        <f>HYPERLINK("http://slimages.macys.com/is/image/MCY/19192172 ")</f>
        <v xml:space="preserve">http://slimages.macys.com/is/image/MCY/19192172 </v>
      </c>
      <c r="N56" s="30"/>
    </row>
    <row r="57" spans="1:14" ht="60" x14ac:dyDescent="0.25">
      <c r="A57" s="19" t="s">
        <v>8612</v>
      </c>
      <c r="B57" s="17" t="s">
        <v>8611</v>
      </c>
      <c r="C57" s="20">
        <v>1</v>
      </c>
      <c r="D57" s="18">
        <v>89</v>
      </c>
      <c r="E57" s="20" t="s">
        <v>8610</v>
      </c>
      <c r="F57" s="17" t="s">
        <v>91</v>
      </c>
      <c r="G57" s="19" t="s">
        <v>749</v>
      </c>
      <c r="H57" s="18">
        <v>17.8</v>
      </c>
      <c r="I57" s="17" t="s">
        <v>144</v>
      </c>
      <c r="J57" s="17" t="s">
        <v>496</v>
      </c>
      <c r="K57" s="17"/>
      <c r="L57" s="17"/>
      <c r="M57" s="16" t="str">
        <f>HYPERLINK("http://slimages.macys.com/is/image/MCY/18849612 ")</f>
        <v xml:space="preserve">http://slimages.macys.com/is/image/MCY/18849612 </v>
      </c>
      <c r="N57" s="30"/>
    </row>
    <row r="58" spans="1:14" ht="60" x14ac:dyDescent="0.25">
      <c r="A58" s="19" t="s">
        <v>10257</v>
      </c>
      <c r="B58" s="17" t="s">
        <v>10256</v>
      </c>
      <c r="C58" s="20">
        <v>2</v>
      </c>
      <c r="D58" s="18">
        <v>60</v>
      </c>
      <c r="E58" s="20" t="s">
        <v>10253</v>
      </c>
      <c r="F58" s="17" t="s">
        <v>51</v>
      </c>
      <c r="G58" s="19" t="s">
        <v>101</v>
      </c>
      <c r="H58" s="18">
        <v>17.533333333333335</v>
      </c>
      <c r="I58" s="17" t="s">
        <v>16</v>
      </c>
      <c r="J58" s="17" t="s">
        <v>15</v>
      </c>
      <c r="K58" s="17" t="s">
        <v>389</v>
      </c>
      <c r="L58" s="17" t="s">
        <v>1724</v>
      </c>
      <c r="M58" s="16" t="str">
        <f>HYPERLINK("http://slimages.macys.com/is/image/MCY/15522961 ")</f>
        <v xml:space="preserve">http://slimages.macys.com/is/image/MCY/15522961 </v>
      </c>
      <c r="N58" s="30"/>
    </row>
    <row r="59" spans="1:14" ht="60" x14ac:dyDescent="0.25">
      <c r="A59" s="19" t="s">
        <v>10255</v>
      </c>
      <c r="B59" s="17" t="s">
        <v>10254</v>
      </c>
      <c r="C59" s="20">
        <v>2</v>
      </c>
      <c r="D59" s="18">
        <v>60</v>
      </c>
      <c r="E59" s="20" t="s">
        <v>10253</v>
      </c>
      <c r="F59" s="17" t="s">
        <v>51</v>
      </c>
      <c r="G59" s="19" t="s">
        <v>17</v>
      </c>
      <c r="H59" s="18">
        <v>17.533333333333335</v>
      </c>
      <c r="I59" s="17" t="s">
        <v>16</v>
      </c>
      <c r="J59" s="17" t="s">
        <v>15</v>
      </c>
      <c r="K59" s="17" t="s">
        <v>389</v>
      </c>
      <c r="L59" s="17" t="s">
        <v>1724</v>
      </c>
      <c r="M59" s="16" t="str">
        <f>HYPERLINK("http://slimages.macys.com/is/image/MCY/15522961 ")</f>
        <v xml:space="preserve">http://slimages.macys.com/is/image/MCY/15522961 </v>
      </c>
      <c r="N59" s="30"/>
    </row>
    <row r="60" spans="1:14" ht="60" x14ac:dyDescent="0.25">
      <c r="A60" s="19" t="s">
        <v>10252</v>
      </c>
      <c r="B60" s="17" t="s">
        <v>10251</v>
      </c>
      <c r="C60" s="20">
        <v>1</v>
      </c>
      <c r="D60" s="18">
        <v>79</v>
      </c>
      <c r="E60" s="20" t="s">
        <v>10250</v>
      </c>
      <c r="F60" s="17" t="s">
        <v>51</v>
      </c>
      <c r="G60" s="19" t="s">
        <v>22</v>
      </c>
      <c r="H60" s="18">
        <v>17.433333333333337</v>
      </c>
      <c r="I60" s="17" t="s">
        <v>49</v>
      </c>
      <c r="J60" s="17" t="s">
        <v>48</v>
      </c>
      <c r="K60" s="17"/>
      <c r="L60" s="17"/>
      <c r="M60" s="16" t="str">
        <f>HYPERLINK("http://slimages.macys.com/is/image/MCY/18509602 ")</f>
        <v xml:space="preserve">http://slimages.macys.com/is/image/MCY/18509602 </v>
      </c>
      <c r="N60" s="30"/>
    </row>
    <row r="61" spans="1:14" ht="60" x14ac:dyDescent="0.25">
      <c r="A61" s="19" t="s">
        <v>10249</v>
      </c>
      <c r="B61" s="17" t="s">
        <v>10248</v>
      </c>
      <c r="C61" s="20">
        <v>1</v>
      </c>
      <c r="D61" s="18">
        <v>89.5</v>
      </c>
      <c r="E61" s="20" t="s">
        <v>10247</v>
      </c>
      <c r="F61" s="17" t="s">
        <v>51</v>
      </c>
      <c r="G61" s="19" t="s">
        <v>1292</v>
      </c>
      <c r="H61" s="18">
        <v>17.006666666666668</v>
      </c>
      <c r="I61" s="17" t="s">
        <v>540</v>
      </c>
      <c r="J61" s="17" t="s">
        <v>105</v>
      </c>
      <c r="K61" s="17"/>
      <c r="L61" s="17"/>
      <c r="M61" s="16" t="str">
        <f>HYPERLINK("http://slimages.macys.com/is/image/MCY/18352655 ")</f>
        <v xml:space="preserve">http://slimages.macys.com/is/image/MCY/18352655 </v>
      </c>
      <c r="N61" s="30"/>
    </row>
    <row r="62" spans="1:14" ht="60" x14ac:dyDescent="0.25">
      <c r="A62" s="19" t="s">
        <v>10246</v>
      </c>
      <c r="B62" s="17" t="s">
        <v>10245</v>
      </c>
      <c r="C62" s="20">
        <v>1</v>
      </c>
      <c r="D62" s="18">
        <v>79</v>
      </c>
      <c r="E62" s="20">
        <v>7050220</v>
      </c>
      <c r="F62" s="17" t="s">
        <v>91</v>
      </c>
      <c r="G62" s="19" t="s">
        <v>101</v>
      </c>
      <c r="H62" s="18">
        <v>16.853333333333335</v>
      </c>
      <c r="I62" s="17" t="s">
        <v>111</v>
      </c>
      <c r="J62" s="17" t="s">
        <v>110</v>
      </c>
      <c r="K62" s="17"/>
      <c r="L62" s="17"/>
      <c r="M62" s="16" t="str">
        <f>HYPERLINK("http://slimages.macys.com/is/image/MCY/17783360 ")</f>
        <v xml:space="preserve">http://slimages.macys.com/is/image/MCY/17783360 </v>
      </c>
      <c r="N62" s="30"/>
    </row>
    <row r="63" spans="1:14" ht="60" x14ac:dyDescent="0.25">
      <c r="A63" s="19" t="s">
        <v>1258</v>
      </c>
      <c r="B63" s="17" t="s">
        <v>1257</v>
      </c>
      <c r="C63" s="20">
        <v>1</v>
      </c>
      <c r="D63" s="18">
        <v>66.75</v>
      </c>
      <c r="E63" s="20">
        <v>10543036</v>
      </c>
      <c r="F63" s="17" t="s">
        <v>508</v>
      </c>
      <c r="G63" s="19" t="s">
        <v>880</v>
      </c>
      <c r="H63" s="18">
        <v>16.82</v>
      </c>
      <c r="I63" s="17" t="s">
        <v>358</v>
      </c>
      <c r="J63" s="17" t="s">
        <v>143</v>
      </c>
      <c r="K63" s="17" t="s">
        <v>389</v>
      </c>
      <c r="L63" s="17" t="s">
        <v>662</v>
      </c>
      <c r="M63" s="16" t="str">
        <f>HYPERLINK("http://slimages.macys.com/is/image/MCY/9441485 ")</f>
        <v xml:space="preserve">http://slimages.macys.com/is/image/MCY/9441485 </v>
      </c>
      <c r="N63" s="30"/>
    </row>
    <row r="64" spans="1:14" ht="60" x14ac:dyDescent="0.25">
      <c r="A64" s="19" t="s">
        <v>4548</v>
      </c>
      <c r="B64" s="17" t="s">
        <v>4547</v>
      </c>
      <c r="C64" s="20">
        <v>2</v>
      </c>
      <c r="D64" s="18">
        <v>66.75</v>
      </c>
      <c r="E64" s="20">
        <v>10543036</v>
      </c>
      <c r="F64" s="17" t="s">
        <v>508</v>
      </c>
      <c r="G64" s="19"/>
      <c r="H64" s="18">
        <v>16.82</v>
      </c>
      <c r="I64" s="17" t="s">
        <v>358</v>
      </c>
      <c r="J64" s="17" t="s">
        <v>143</v>
      </c>
      <c r="K64" s="17" t="s">
        <v>389</v>
      </c>
      <c r="L64" s="17" t="s">
        <v>662</v>
      </c>
      <c r="M64" s="16" t="str">
        <f>HYPERLINK("http://slimages.macys.com/is/image/MCY/9441485 ")</f>
        <v xml:space="preserve">http://slimages.macys.com/is/image/MCY/9441485 </v>
      </c>
      <c r="N64" s="30"/>
    </row>
    <row r="65" spans="1:14" ht="60" x14ac:dyDescent="0.25">
      <c r="A65" s="19" t="s">
        <v>10244</v>
      </c>
      <c r="B65" s="17" t="s">
        <v>10243</v>
      </c>
      <c r="C65" s="20">
        <v>1</v>
      </c>
      <c r="D65" s="18">
        <v>66.75</v>
      </c>
      <c r="E65" s="20">
        <v>10543036</v>
      </c>
      <c r="F65" s="17" t="s">
        <v>508</v>
      </c>
      <c r="G65" s="19" t="s">
        <v>1445</v>
      </c>
      <c r="H65" s="18">
        <v>16.82</v>
      </c>
      <c r="I65" s="17" t="s">
        <v>358</v>
      </c>
      <c r="J65" s="17" t="s">
        <v>143</v>
      </c>
      <c r="K65" s="17" t="s">
        <v>389</v>
      </c>
      <c r="L65" s="17" t="s">
        <v>662</v>
      </c>
      <c r="M65" s="16" t="str">
        <f>HYPERLINK("http://slimages.macys.com/is/image/MCY/9441485 ")</f>
        <v xml:space="preserve">http://slimages.macys.com/is/image/MCY/9441485 </v>
      </c>
      <c r="N65" s="30"/>
    </row>
    <row r="66" spans="1:14" ht="60" x14ac:dyDescent="0.25">
      <c r="A66" s="19" t="s">
        <v>10242</v>
      </c>
      <c r="B66" s="17" t="s">
        <v>10241</v>
      </c>
      <c r="C66" s="20">
        <v>1</v>
      </c>
      <c r="D66" s="18">
        <v>66.75</v>
      </c>
      <c r="E66" s="20" t="s">
        <v>9677</v>
      </c>
      <c r="F66" s="17" t="s">
        <v>35</v>
      </c>
      <c r="G66" s="19" t="s">
        <v>4021</v>
      </c>
      <c r="H66" s="18">
        <v>16.8</v>
      </c>
      <c r="I66" s="17" t="s">
        <v>33</v>
      </c>
      <c r="J66" s="17" t="s">
        <v>32</v>
      </c>
      <c r="K66" s="17"/>
      <c r="L66" s="17"/>
      <c r="M66" s="16" t="str">
        <f>HYPERLINK("http://slimages.macys.com/is/image/MCY/18396109 ")</f>
        <v xml:space="preserve">http://slimages.macys.com/is/image/MCY/18396109 </v>
      </c>
      <c r="N66" s="30"/>
    </row>
    <row r="67" spans="1:14" ht="60" x14ac:dyDescent="0.25">
      <c r="A67" s="19" t="s">
        <v>10240</v>
      </c>
      <c r="B67" s="17" t="s">
        <v>10239</v>
      </c>
      <c r="C67" s="20">
        <v>1</v>
      </c>
      <c r="D67" s="18">
        <v>79</v>
      </c>
      <c r="E67" s="20">
        <v>10786172</v>
      </c>
      <c r="F67" s="17" t="s">
        <v>544</v>
      </c>
      <c r="G67" s="19" t="s">
        <v>658</v>
      </c>
      <c r="H67" s="18">
        <v>16.326666666666668</v>
      </c>
      <c r="I67" s="17" t="s">
        <v>144</v>
      </c>
      <c r="J67" s="17" t="s">
        <v>143</v>
      </c>
      <c r="K67" s="17"/>
      <c r="L67" s="17"/>
      <c r="M67" s="16" t="str">
        <f>HYPERLINK("http://slimages.macys.com/is/image/MCY/17954449 ")</f>
        <v xml:space="preserve">http://slimages.macys.com/is/image/MCY/17954449 </v>
      </c>
      <c r="N67" s="30"/>
    </row>
    <row r="68" spans="1:14" ht="60" x14ac:dyDescent="0.25">
      <c r="A68" s="19" t="s">
        <v>10238</v>
      </c>
      <c r="B68" s="17" t="s">
        <v>10237</v>
      </c>
      <c r="C68" s="20">
        <v>1</v>
      </c>
      <c r="D68" s="18">
        <v>79</v>
      </c>
      <c r="E68" s="20">
        <v>10770084</v>
      </c>
      <c r="F68" s="17" t="s">
        <v>51</v>
      </c>
      <c r="G68" s="19" t="s">
        <v>658</v>
      </c>
      <c r="H68" s="18">
        <v>16.326666666666668</v>
      </c>
      <c r="I68" s="17" t="s">
        <v>144</v>
      </c>
      <c r="J68" s="17" t="s">
        <v>143</v>
      </c>
      <c r="K68" s="17"/>
      <c r="L68" s="17"/>
      <c r="M68" s="16" t="str">
        <f>HYPERLINK("http://slimages.macys.com/is/image/MCY/18601098 ")</f>
        <v xml:space="preserve">http://slimages.macys.com/is/image/MCY/18601098 </v>
      </c>
      <c r="N68" s="30"/>
    </row>
    <row r="69" spans="1:14" ht="60" x14ac:dyDescent="0.25">
      <c r="A69" s="19" t="s">
        <v>8554</v>
      </c>
      <c r="B69" s="17" t="s">
        <v>8553</v>
      </c>
      <c r="C69" s="20">
        <v>1</v>
      </c>
      <c r="D69" s="18">
        <v>79</v>
      </c>
      <c r="E69" s="20">
        <v>10765192</v>
      </c>
      <c r="F69" s="17" t="s">
        <v>359</v>
      </c>
      <c r="G69" s="19" t="s">
        <v>69</v>
      </c>
      <c r="H69" s="18">
        <v>16.326666666666668</v>
      </c>
      <c r="I69" s="17" t="s">
        <v>144</v>
      </c>
      <c r="J69" s="17" t="s">
        <v>143</v>
      </c>
      <c r="K69" s="17"/>
      <c r="L69" s="17"/>
      <c r="M69" s="16" t="str">
        <f>HYPERLINK("http://slimages.macys.com/is/image/MCY/18814279 ")</f>
        <v xml:space="preserve">http://slimages.macys.com/is/image/MCY/18814279 </v>
      </c>
      <c r="N69" s="30"/>
    </row>
    <row r="70" spans="1:14" ht="60" x14ac:dyDescent="0.25">
      <c r="A70" s="19" t="s">
        <v>10236</v>
      </c>
      <c r="B70" s="17" t="s">
        <v>10235</v>
      </c>
      <c r="C70" s="20">
        <v>2</v>
      </c>
      <c r="D70" s="18">
        <v>59.5</v>
      </c>
      <c r="E70" s="20" t="s">
        <v>10234</v>
      </c>
      <c r="F70" s="17" t="s">
        <v>1356</v>
      </c>
      <c r="G70" s="19" t="s">
        <v>96</v>
      </c>
      <c r="H70" s="18">
        <v>15.866666666666667</v>
      </c>
      <c r="I70" s="17" t="s">
        <v>68</v>
      </c>
      <c r="J70" s="17" t="s">
        <v>67</v>
      </c>
      <c r="K70" s="17"/>
      <c r="L70" s="17"/>
      <c r="M70" s="16" t="str">
        <f>HYPERLINK("http://slimages.macys.com/is/image/MCY/3859681 ")</f>
        <v xml:space="preserve">http://slimages.macys.com/is/image/MCY/3859681 </v>
      </c>
      <c r="N70" s="30"/>
    </row>
    <row r="71" spans="1:14" ht="60" x14ac:dyDescent="0.25">
      <c r="A71" s="19" t="s">
        <v>10233</v>
      </c>
      <c r="B71" s="17" t="s">
        <v>10232</v>
      </c>
      <c r="C71" s="20">
        <v>2</v>
      </c>
      <c r="D71" s="18">
        <v>79</v>
      </c>
      <c r="E71" s="20" t="s">
        <v>10231</v>
      </c>
      <c r="F71" s="17" t="s">
        <v>508</v>
      </c>
      <c r="G71" s="19" t="s">
        <v>62</v>
      </c>
      <c r="H71" s="18">
        <v>15.8</v>
      </c>
      <c r="I71" s="17" t="s">
        <v>144</v>
      </c>
      <c r="J71" s="17" t="s">
        <v>496</v>
      </c>
      <c r="K71" s="17"/>
      <c r="L71" s="17"/>
      <c r="M71" s="16" t="str">
        <f>HYPERLINK("http://slimages.macys.com/is/image/MCY/18652250 ")</f>
        <v xml:space="preserve">http://slimages.macys.com/is/image/MCY/18652250 </v>
      </c>
      <c r="N71" s="30"/>
    </row>
    <row r="72" spans="1:14" ht="60" x14ac:dyDescent="0.25">
      <c r="A72" s="19" t="s">
        <v>10230</v>
      </c>
      <c r="B72" s="17" t="s">
        <v>10229</v>
      </c>
      <c r="C72" s="20">
        <v>1</v>
      </c>
      <c r="D72" s="18">
        <v>79</v>
      </c>
      <c r="E72" s="20">
        <v>10741666</v>
      </c>
      <c r="F72" s="17" t="s">
        <v>23</v>
      </c>
      <c r="G72" s="19" t="s">
        <v>139</v>
      </c>
      <c r="H72" s="18">
        <v>15.8</v>
      </c>
      <c r="I72" s="17" t="s">
        <v>358</v>
      </c>
      <c r="J72" s="17" t="s">
        <v>554</v>
      </c>
      <c r="K72" s="17" t="s">
        <v>389</v>
      </c>
      <c r="L72" s="17" t="s">
        <v>1359</v>
      </c>
      <c r="M72" s="16" t="str">
        <f>HYPERLINK("http://slimages.macys.com/is/image/MCY/14453974 ")</f>
        <v xml:space="preserve">http://slimages.macys.com/is/image/MCY/14453974 </v>
      </c>
      <c r="N72" s="30"/>
    </row>
    <row r="73" spans="1:14" ht="60" x14ac:dyDescent="0.25">
      <c r="A73" s="19" t="s">
        <v>10228</v>
      </c>
      <c r="B73" s="17" t="s">
        <v>10227</v>
      </c>
      <c r="C73" s="20">
        <v>1</v>
      </c>
      <c r="D73" s="18">
        <v>55</v>
      </c>
      <c r="E73" s="20" t="s">
        <v>10222</v>
      </c>
      <c r="F73" s="17" t="s">
        <v>51</v>
      </c>
      <c r="G73" s="19" t="s">
        <v>17</v>
      </c>
      <c r="H73" s="18">
        <v>15.533333333333335</v>
      </c>
      <c r="I73" s="17" t="s">
        <v>16</v>
      </c>
      <c r="J73" s="17" t="s">
        <v>15</v>
      </c>
      <c r="K73" s="17" t="s">
        <v>389</v>
      </c>
      <c r="L73" s="17" t="s">
        <v>1129</v>
      </c>
      <c r="M73" s="16" t="str">
        <f>HYPERLINK("http://slimages.macys.com/is/image/MCY/15522953 ")</f>
        <v xml:space="preserve">http://slimages.macys.com/is/image/MCY/15522953 </v>
      </c>
      <c r="N73" s="30"/>
    </row>
    <row r="74" spans="1:14" ht="60" x14ac:dyDescent="0.25">
      <c r="A74" s="19" t="s">
        <v>10226</v>
      </c>
      <c r="B74" s="17" t="s">
        <v>10225</v>
      </c>
      <c r="C74" s="20">
        <v>1</v>
      </c>
      <c r="D74" s="18">
        <v>55</v>
      </c>
      <c r="E74" s="20" t="s">
        <v>10222</v>
      </c>
      <c r="F74" s="17" t="s">
        <v>726</v>
      </c>
      <c r="G74" s="19" t="s">
        <v>22</v>
      </c>
      <c r="H74" s="18">
        <v>15.533333333333335</v>
      </c>
      <c r="I74" s="17" t="s">
        <v>16</v>
      </c>
      <c r="J74" s="17" t="s">
        <v>15</v>
      </c>
      <c r="K74" s="17" t="s">
        <v>389</v>
      </c>
      <c r="L74" s="17" t="s">
        <v>1129</v>
      </c>
      <c r="M74" s="16" t="str">
        <f>HYPERLINK("http://slimages.macys.com/is/image/MCY/15522953 ")</f>
        <v xml:space="preserve">http://slimages.macys.com/is/image/MCY/15522953 </v>
      </c>
      <c r="N74" s="30"/>
    </row>
    <row r="75" spans="1:14" ht="60" x14ac:dyDescent="0.25">
      <c r="A75" s="19" t="s">
        <v>10224</v>
      </c>
      <c r="B75" s="17" t="s">
        <v>10223</v>
      </c>
      <c r="C75" s="20">
        <v>1</v>
      </c>
      <c r="D75" s="18">
        <v>55</v>
      </c>
      <c r="E75" s="20" t="s">
        <v>10222</v>
      </c>
      <c r="F75" s="17" t="s">
        <v>51</v>
      </c>
      <c r="G75" s="19" t="s">
        <v>22</v>
      </c>
      <c r="H75" s="18">
        <v>15.533333333333335</v>
      </c>
      <c r="I75" s="17" t="s">
        <v>16</v>
      </c>
      <c r="J75" s="17" t="s">
        <v>15</v>
      </c>
      <c r="K75" s="17" t="s">
        <v>389</v>
      </c>
      <c r="L75" s="17" t="s">
        <v>1129</v>
      </c>
      <c r="M75" s="16" t="str">
        <f>HYPERLINK("http://slimages.macys.com/is/image/MCY/15522953 ")</f>
        <v xml:space="preserve">http://slimages.macys.com/is/image/MCY/15522953 </v>
      </c>
      <c r="N75" s="30"/>
    </row>
    <row r="76" spans="1:14" ht="60" x14ac:dyDescent="0.25">
      <c r="A76" s="19" t="s">
        <v>10221</v>
      </c>
      <c r="B76" s="17" t="s">
        <v>10220</v>
      </c>
      <c r="C76" s="20">
        <v>1</v>
      </c>
      <c r="D76" s="18">
        <v>79</v>
      </c>
      <c r="E76" s="20" t="s">
        <v>10219</v>
      </c>
      <c r="F76" s="17" t="s">
        <v>544</v>
      </c>
      <c r="G76" s="19"/>
      <c r="H76" s="18">
        <v>15.486666666666666</v>
      </c>
      <c r="I76" s="17" t="s">
        <v>492</v>
      </c>
      <c r="J76" s="17" t="s">
        <v>491</v>
      </c>
      <c r="K76" s="17"/>
      <c r="L76" s="17"/>
      <c r="M76" s="16" t="str">
        <f>HYPERLINK("http://slimages.macys.com/is/image/MCY/17542453 ")</f>
        <v xml:space="preserve">http://slimages.macys.com/is/image/MCY/17542453 </v>
      </c>
      <c r="N76" s="30"/>
    </row>
    <row r="77" spans="1:14" ht="96" x14ac:dyDescent="0.25">
      <c r="A77" s="19" t="s">
        <v>10218</v>
      </c>
      <c r="B77" s="17" t="s">
        <v>10217</v>
      </c>
      <c r="C77" s="20">
        <v>1</v>
      </c>
      <c r="D77" s="18">
        <v>79</v>
      </c>
      <c r="E77" s="20">
        <v>10695398</v>
      </c>
      <c r="F77" s="17" t="s">
        <v>51</v>
      </c>
      <c r="G77" s="19" t="s">
        <v>749</v>
      </c>
      <c r="H77" s="18">
        <v>15.273333333333333</v>
      </c>
      <c r="I77" s="17" t="s">
        <v>144</v>
      </c>
      <c r="J77" s="17" t="s">
        <v>143</v>
      </c>
      <c r="K77" s="17" t="s">
        <v>389</v>
      </c>
      <c r="L77" s="17" t="s">
        <v>1355</v>
      </c>
      <c r="M77" s="16" t="str">
        <f>HYPERLINK("http://slimages.macys.com/is/image/MCY/14815173 ")</f>
        <v xml:space="preserve">http://slimages.macys.com/is/image/MCY/14815173 </v>
      </c>
      <c r="N77" s="30"/>
    </row>
    <row r="78" spans="1:14" ht="60" x14ac:dyDescent="0.25">
      <c r="A78" s="19" t="s">
        <v>10216</v>
      </c>
      <c r="B78" s="17" t="s">
        <v>10215</v>
      </c>
      <c r="C78" s="20">
        <v>1</v>
      </c>
      <c r="D78" s="18">
        <v>79</v>
      </c>
      <c r="E78" s="20">
        <v>10799038</v>
      </c>
      <c r="F78" s="17" t="s">
        <v>35</v>
      </c>
      <c r="G78" s="19" t="s">
        <v>139</v>
      </c>
      <c r="H78" s="18">
        <v>15.273333333333333</v>
      </c>
      <c r="I78" s="17" t="s">
        <v>1307</v>
      </c>
      <c r="J78" s="17" t="s">
        <v>1306</v>
      </c>
      <c r="K78" s="17"/>
      <c r="L78" s="17"/>
      <c r="M78" s="16" t="str">
        <f>HYPERLINK("http://slimages.macys.com/is/image/MCY/18493030 ")</f>
        <v xml:space="preserve">http://slimages.macys.com/is/image/MCY/18493030 </v>
      </c>
      <c r="N78" s="30"/>
    </row>
    <row r="79" spans="1:14" ht="84" x14ac:dyDescent="0.25">
      <c r="A79" s="19" t="s">
        <v>10214</v>
      </c>
      <c r="B79" s="17" t="s">
        <v>10213</v>
      </c>
      <c r="C79" s="20">
        <v>1</v>
      </c>
      <c r="D79" s="18">
        <v>79</v>
      </c>
      <c r="E79" s="20">
        <v>10543022</v>
      </c>
      <c r="F79" s="17" t="s">
        <v>508</v>
      </c>
      <c r="G79" s="19" t="s">
        <v>698</v>
      </c>
      <c r="H79" s="18">
        <v>15.273333333333333</v>
      </c>
      <c r="I79" s="17" t="s">
        <v>144</v>
      </c>
      <c r="J79" s="17" t="s">
        <v>143</v>
      </c>
      <c r="K79" s="17" t="s">
        <v>389</v>
      </c>
      <c r="L79" s="17" t="s">
        <v>3664</v>
      </c>
      <c r="M79" s="16" t="str">
        <f>HYPERLINK("http://slimages.macys.com/is/image/MCY/9183640 ")</f>
        <v xml:space="preserve">http://slimages.macys.com/is/image/MCY/9183640 </v>
      </c>
      <c r="N79" s="30"/>
    </row>
    <row r="80" spans="1:14" ht="96" x14ac:dyDescent="0.25">
      <c r="A80" s="19" t="s">
        <v>3753</v>
      </c>
      <c r="B80" s="17" t="s">
        <v>3752</v>
      </c>
      <c r="C80" s="20">
        <v>1</v>
      </c>
      <c r="D80" s="18">
        <v>79</v>
      </c>
      <c r="E80" s="20">
        <v>10695398</v>
      </c>
      <c r="F80" s="17" t="s">
        <v>51</v>
      </c>
      <c r="G80" s="19" t="s">
        <v>698</v>
      </c>
      <c r="H80" s="18">
        <v>15.273333333333333</v>
      </c>
      <c r="I80" s="17" t="s">
        <v>144</v>
      </c>
      <c r="J80" s="17" t="s">
        <v>143</v>
      </c>
      <c r="K80" s="17" t="s">
        <v>389</v>
      </c>
      <c r="L80" s="17" t="s">
        <v>1355</v>
      </c>
      <c r="M80" s="16" t="str">
        <f>HYPERLINK("http://slimages.macys.com/is/image/MCY/14815173 ")</f>
        <v xml:space="preserve">http://slimages.macys.com/is/image/MCY/14815173 </v>
      </c>
      <c r="N80" s="30"/>
    </row>
    <row r="81" spans="1:14" ht="60" x14ac:dyDescent="0.25">
      <c r="A81" s="19" t="s">
        <v>10212</v>
      </c>
      <c r="B81" s="17" t="s">
        <v>10211</v>
      </c>
      <c r="C81" s="20">
        <v>1</v>
      </c>
      <c r="D81" s="18">
        <v>79</v>
      </c>
      <c r="E81" s="20">
        <v>10781118</v>
      </c>
      <c r="F81" s="17" t="s">
        <v>51</v>
      </c>
      <c r="G81" s="19" t="s">
        <v>271</v>
      </c>
      <c r="H81" s="18">
        <v>15.273333333333333</v>
      </c>
      <c r="I81" s="17" t="s">
        <v>1307</v>
      </c>
      <c r="J81" s="17" t="s">
        <v>1306</v>
      </c>
      <c r="K81" s="17"/>
      <c r="L81" s="17"/>
      <c r="M81" s="16" t="str">
        <f>HYPERLINK("http://slimages.macys.com/is/image/MCY/17737530 ")</f>
        <v xml:space="preserve">http://slimages.macys.com/is/image/MCY/17737530 </v>
      </c>
      <c r="N81" s="30"/>
    </row>
    <row r="82" spans="1:14" ht="96" x14ac:dyDescent="0.25">
      <c r="A82" s="19" t="s">
        <v>5853</v>
      </c>
      <c r="B82" s="17" t="s">
        <v>5852</v>
      </c>
      <c r="C82" s="20">
        <v>1</v>
      </c>
      <c r="D82" s="18">
        <v>79</v>
      </c>
      <c r="E82" s="20">
        <v>10695398</v>
      </c>
      <c r="F82" s="17" t="s">
        <v>51</v>
      </c>
      <c r="G82" s="19" t="s">
        <v>116</v>
      </c>
      <c r="H82" s="18">
        <v>15.273333333333333</v>
      </c>
      <c r="I82" s="17" t="s">
        <v>144</v>
      </c>
      <c r="J82" s="17" t="s">
        <v>143</v>
      </c>
      <c r="K82" s="17" t="s">
        <v>389</v>
      </c>
      <c r="L82" s="17" t="s">
        <v>1355</v>
      </c>
      <c r="M82" s="16" t="str">
        <f>HYPERLINK("http://slimages.macys.com/is/image/MCY/14815173 ")</f>
        <v xml:space="preserve">http://slimages.macys.com/is/image/MCY/14815173 </v>
      </c>
      <c r="N82" s="30"/>
    </row>
    <row r="83" spans="1:14" ht="60" x14ac:dyDescent="0.25">
      <c r="A83" s="19" t="s">
        <v>10210</v>
      </c>
      <c r="B83" s="17" t="s">
        <v>10209</v>
      </c>
      <c r="C83" s="20">
        <v>1</v>
      </c>
      <c r="D83" s="18">
        <v>69</v>
      </c>
      <c r="E83" s="20" t="s">
        <v>7491</v>
      </c>
      <c r="F83" s="17" t="s">
        <v>1356</v>
      </c>
      <c r="G83" s="19" t="s">
        <v>62</v>
      </c>
      <c r="H83" s="18">
        <v>15.226666666666667</v>
      </c>
      <c r="I83" s="17" t="s">
        <v>49</v>
      </c>
      <c r="J83" s="17" t="s">
        <v>48</v>
      </c>
      <c r="K83" s="17"/>
      <c r="L83" s="17"/>
      <c r="M83" s="16" t="str">
        <f>HYPERLINK("http://slimages.macys.com/is/image/MCY/18775265 ")</f>
        <v xml:space="preserve">http://slimages.macys.com/is/image/MCY/18775265 </v>
      </c>
      <c r="N83" s="30"/>
    </row>
    <row r="84" spans="1:14" ht="60" x14ac:dyDescent="0.25">
      <c r="A84" s="19" t="s">
        <v>10208</v>
      </c>
      <c r="B84" s="17" t="s">
        <v>10207</v>
      </c>
      <c r="C84" s="20">
        <v>1</v>
      </c>
      <c r="D84" s="18">
        <v>69</v>
      </c>
      <c r="E84" s="20" t="s">
        <v>7491</v>
      </c>
      <c r="F84" s="17" t="s">
        <v>1356</v>
      </c>
      <c r="G84" s="19" t="s">
        <v>50</v>
      </c>
      <c r="H84" s="18">
        <v>15.226666666666667</v>
      </c>
      <c r="I84" s="17" t="s">
        <v>49</v>
      </c>
      <c r="J84" s="17" t="s">
        <v>48</v>
      </c>
      <c r="K84" s="17"/>
      <c r="L84" s="17"/>
      <c r="M84" s="16" t="str">
        <f>HYPERLINK("http://slimages.macys.com/is/image/MCY/18775265 ")</f>
        <v xml:space="preserve">http://slimages.macys.com/is/image/MCY/18775265 </v>
      </c>
      <c r="N84" s="30"/>
    </row>
    <row r="85" spans="1:14" ht="60" x14ac:dyDescent="0.25">
      <c r="A85" s="19" t="s">
        <v>10206</v>
      </c>
      <c r="B85" s="17" t="s">
        <v>10205</v>
      </c>
      <c r="C85" s="20">
        <v>1</v>
      </c>
      <c r="D85" s="18">
        <v>69</v>
      </c>
      <c r="E85" s="20" t="s">
        <v>7488</v>
      </c>
      <c r="F85" s="17" t="s">
        <v>345</v>
      </c>
      <c r="G85" s="19" t="s">
        <v>22</v>
      </c>
      <c r="H85" s="18">
        <v>15.226666666666667</v>
      </c>
      <c r="I85" s="17" t="s">
        <v>49</v>
      </c>
      <c r="J85" s="17" t="s">
        <v>48</v>
      </c>
      <c r="K85" s="17"/>
      <c r="L85" s="17"/>
      <c r="M85" s="16" t="str">
        <f>HYPERLINK("http://slimages.macys.com/is/image/MCY/19500119 ")</f>
        <v xml:space="preserve">http://slimages.macys.com/is/image/MCY/19500119 </v>
      </c>
      <c r="N85" s="30"/>
    </row>
    <row r="86" spans="1:14" ht="60" x14ac:dyDescent="0.25">
      <c r="A86" s="19" t="s">
        <v>10204</v>
      </c>
      <c r="B86" s="17" t="s">
        <v>10203</v>
      </c>
      <c r="C86" s="20">
        <v>1</v>
      </c>
      <c r="D86" s="18">
        <v>79.5</v>
      </c>
      <c r="E86" s="20" t="s">
        <v>10202</v>
      </c>
      <c r="F86" s="17" t="s">
        <v>51</v>
      </c>
      <c r="G86" s="19"/>
      <c r="H86" s="18">
        <v>15.106666666666667</v>
      </c>
      <c r="I86" s="17" t="s">
        <v>540</v>
      </c>
      <c r="J86" s="17" t="s">
        <v>105</v>
      </c>
      <c r="K86" s="17"/>
      <c r="L86" s="17"/>
      <c r="M86" s="16" t="str">
        <f>HYPERLINK("http://slimages.macys.com/is/image/MCY/17595613 ")</f>
        <v xml:space="preserve">http://slimages.macys.com/is/image/MCY/17595613 </v>
      </c>
      <c r="N86" s="30"/>
    </row>
    <row r="87" spans="1:14" ht="60" x14ac:dyDescent="0.25">
      <c r="A87" s="19" t="s">
        <v>10201</v>
      </c>
      <c r="B87" s="17" t="s">
        <v>10200</v>
      </c>
      <c r="C87" s="20">
        <v>1</v>
      </c>
      <c r="D87" s="18">
        <v>79.5</v>
      </c>
      <c r="E87" s="20" t="s">
        <v>541</v>
      </c>
      <c r="F87" s="17" t="s">
        <v>508</v>
      </c>
      <c r="G87" s="19" t="s">
        <v>271</v>
      </c>
      <c r="H87" s="18">
        <v>15.106666666666667</v>
      </c>
      <c r="I87" s="17" t="s">
        <v>540</v>
      </c>
      <c r="J87" s="17" t="s">
        <v>105</v>
      </c>
      <c r="K87" s="17"/>
      <c r="L87" s="17"/>
      <c r="M87" s="16" t="str">
        <f>HYPERLINK("http://slimages.macys.com/is/image/MCY/18889301 ")</f>
        <v xml:space="preserve">http://slimages.macys.com/is/image/MCY/18889301 </v>
      </c>
      <c r="N87" s="30"/>
    </row>
    <row r="88" spans="1:14" ht="60" x14ac:dyDescent="0.25">
      <c r="A88" s="19" t="s">
        <v>10199</v>
      </c>
      <c r="B88" s="17" t="s">
        <v>10198</v>
      </c>
      <c r="C88" s="20">
        <v>1</v>
      </c>
      <c r="D88" s="18">
        <v>89.5</v>
      </c>
      <c r="E88" s="20" t="s">
        <v>10197</v>
      </c>
      <c r="F88" s="17" t="s">
        <v>58</v>
      </c>
      <c r="G88" s="19" t="s">
        <v>69</v>
      </c>
      <c r="H88" s="18">
        <v>15</v>
      </c>
      <c r="I88" s="17" t="s">
        <v>68</v>
      </c>
      <c r="J88" s="17" t="s">
        <v>67</v>
      </c>
      <c r="K88" s="17"/>
      <c r="L88" s="17"/>
      <c r="M88" s="16" t="str">
        <f>HYPERLINK("http://slimages.macys.com/is/image/MCY/18560793 ")</f>
        <v xml:space="preserve">http://slimages.macys.com/is/image/MCY/18560793 </v>
      </c>
      <c r="N88" s="30"/>
    </row>
    <row r="89" spans="1:14" ht="60" x14ac:dyDescent="0.25">
      <c r="A89" s="19" t="s">
        <v>10196</v>
      </c>
      <c r="B89" s="17" t="s">
        <v>10195</v>
      </c>
      <c r="C89" s="20">
        <v>1</v>
      </c>
      <c r="D89" s="18">
        <v>69.5</v>
      </c>
      <c r="E89" s="20" t="s">
        <v>532</v>
      </c>
      <c r="F89" s="17" t="s">
        <v>51</v>
      </c>
      <c r="G89" s="19" t="s">
        <v>69</v>
      </c>
      <c r="H89" s="18">
        <v>15</v>
      </c>
      <c r="I89" s="17" t="s">
        <v>80</v>
      </c>
      <c r="J89" s="17" t="s">
        <v>531</v>
      </c>
      <c r="K89" s="17"/>
      <c r="L89" s="17"/>
      <c r="M89" s="16" t="str">
        <f>HYPERLINK("http://slimages.macys.com/is/image/MCY/18518668 ")</f>
        <v xml:space="preserve">http://slimages.macys.com/is/image/MCY/18518668 </v>
      </c>
      <c r="N89" s="30"/>
    </row>
    <row r="90" spans="1:14" ht="60" x14ac:dyDescent="0.25">
      <c r="A90" s="19" t="s">
        <v>10194</v>
      </c>
      <c r="B90" s="17" t="s">
        <v>10193</v>
      </c>
      <c r="C90" s="20">
        <v>1</v>
      </c>
      <c r="D90" s="18">
        <v>89.5</v>
      </c>
      <c r="E90" s="20" t="s">
        <v>10192</v>
      </c>
      <c r="F90" s="17" t="s">
        <v>282</v>
      </c>
      <c r="G90" s="19" t="s">
        <v>62</v>
      </c>
      <c r="H90" s="18">
        <v>15</v>
      </c>
      <c r="I90" s="17" t="s">
        <v>68</v>
      </c>
      <c r="J90" s="17" t="s">
        <v>67</v>
      </c>
      <c r="K90" s="17"/>
      <c r="L90" s="17"/>
      <c r="M90" s="16" t="str">
        <f>HYPERLINK("http://slimages.macys.com/is/image/MCY/18560781 ")</f>
        <v xml:space="preserve">http://slimages.macys.com/is/image/MCY/18560781 </v>
      </c>
      <c r="N90" s="30"/>
    </row>
    <row r="91" spans="1:14" ht="60" x14ac:dyDescent="0.25">
      <c r="A91" s="19" t="s">
        <v>10191</v>
      </c>
      <c r="B91" s="17" t="s">
        <v>10190</v>
      </c>
      <c r="C91" s="20">
        <v>1</v>
      </c>
      <c r="D91" s="18">
        <v>89</v>
      </c>
      <c r="E91" s="20" t="s">
        <v>10189</v>
      </c>
      <c r="F91" s="17"/>
      <c r="G91" s="19" t="s">
        <v>698</v>
      </c>
      <c r="H91" s="18">
        <v>14.833333333333334</v>
      </c>
      <c r="I91" s="17" t="s">
        <v>820</v>
      </c>
      <c r="J91" s="17" t="s">
        <v>67</v>
      </c>
      <c r="K91" s="17"/>
      <c r="L91" s="17"/>
      <c r="M91" s="16" t="str">
        <f>HYPERLINK("http://slimages.macys.com/is/image/MCY/17556783 ")</f>
        <v xml:space="preserve">http://slimages.macys.com/is/image/MCY/17556783 </v>
      </c>
      <c r="N91" s="30"/>
    </row>
    <row r="92" spans="1:14" ht="60" x14ac:dyDescent="0.25">
      <c r="A92" s="19" t="s">
        <v>10188</v>
      </c>
      <c r="B92" s="17" t="s">
        <v>10187</v>
      </c>
      <c r="C92" s="20">
        <v>1</v>
      </c>
      <c r="D92" s="18">
        <v>79</v>
      </c>
      <c r="E92" s="20" t="s">
        <v>10181</v>
      </c>
      <c r="F92" s="17" t="s">
        <v>51</v>
      </c>
      <c r="G92" s="19" t="s">
        <v>62</v>
      </c>
      <c r="H92" s="18">
        <v>14.586666666666668</v>
      </c>
      <c r="I92" s="17" t="s">
        <v>405</v>
      </c>
      <c r="J92" s="17" t="s">
        <v>404</v>
      </c>
      <c r="K92" s="17"/>
      <c r="L92" s="17"/>
      <c r="M92" s="16" t="str">
        <f>HYPERLINK("http://slimages.macys.com/is/image/MCY/18867852 ")</f>
        <v xml:space="preserve">http://slimages.macys.com/is/image/MCY/18867852 </v>
      </c>
      <c r="N92" s="30"/>
    </row>
    <row r="93" spans="1:14" ht="60" x14ac:dyDescent="0.25">
      <c r="A93" s="19" t="s">
        <v>10186</v>
      </c>
      <c r="B93" s="17" t="s">
        <v>10185</v>
      </c>
      <c r="C93" s="20">
        <v>1</v>
      </c>
      <c r="D93" s="18">
        <v>79</v>
      </c>
      <c r="E93" s="20" t="s">
        <v>10184</v>
      </c>
      <c r="F93" s="17" t="s">
        <v>544</v>
      </c>
      <c r="G93" s="19" t="s">
        <v>197</v>
      </c>
      <c r="H93" s="18">
        <v>14.586666666666668</v>
      </c>
      <c r="I93" s="17" t="s">
        <v>405</v>
      </c>
      <c r="J93" s="17" t="s">
        <v>404</v>
      </c>
      <c r="K93" s="17"/>
      <c r="L93" s="17"/>
      <c r="M93" s="16" t="str">
        <f>HYPERLINK("http://slimages.macys.com/is/image/MCY/18648647 ")</f>
        <v xml:space="preserve">http://slimages.macys.com/is/image/MCY/18648647 </v>
      </c>
      <c r="N93" s="30"/>
    </row>
    <row r="94" spans="1:14" ht="60" x14ac:dyDescent="0.25">
      <c r="A94" s="19" t="s">
        <v>10183</v>
      </c>
      <c r="B94" s="17" t="s">
        <v>10182</v>
      </c>
      <c r="C94" s="20">
        <v>1</v>
      </c>
      <c r="D94" s="18">
        <v>79</v>
      </c>
      <c r="E94" s="20" t="s">
        <v>10181</v>
      </c>
      <c r="F94" s="17" t="s">
        <v>51</v>
      </c>
      <c r="G94" s="19" t="s">
        <v>69</v>
      </c>
      <c r="H94" s="18">
        <v>14.586666666666668</v>
      </c>
      <c r="I94" s="17" t="s">
        <v>405</v>
      </c>
      <c r="J94" s="17" t="s">
        <v>404</v>
      </c>
      <c r="K94" s="17"/>
      <c r="L94" s="17"/>
      <c r="M94" s="16" t="str">
        <f>HYPERLINK("http://slimages.macys.com/is/image/MCY/18867852 ")</f>
        <v xml:space="preserve">http://slimages.macys.com/is/image/MCY/18867852 </v>
      </c>
      <c r="N94" s="30"/>
    </row>
    <row r="95" spans="1:14" ht="60" x14ac:dyDescent="0.25">
      <c r="A95" s="19" t="s">
        <v>10180</v>
      </c>
      <c r="B95" s="17" t="s">
        <v>10179</v>
      </c>
      <c r="C95" s="20">
        <v>1</v>
      </c>
      <c r="D95" s="18">
        <v>79</v>
      </c>
      <c r="E95" s="20" t="s">
        <v>10178</v>
      </c>
      <c r="F95" s="17" t="s">
        <v>23</v>
      </c>
      <c r="G95" s="19" t="s">
        <v>857</v>
      </c>
      <c r="H95" s="18">
        <v>14.586666666666668</v>
      </c>
      <c r="I95" s="17" t="s">
        <v>405</v>
      </c>
      <c r="J95" s="17" t="s">
        <v>404</v>
      </c>
      <c r="K95" s="17"/>
      <c r="L95" s="17"/>
      <c r="M95" s="16" t="str">
        <f>HYPERLINK("http://slimages.macys.com/is/image/MCY/18091451 ")</f>
        <v xml:space="preserve">http://slimages.macys.com/is/image/MCY/18091451 </v>
      </c>
      <c r="N95" s="30"/>
    </row>
    <row r="96" spans="1:14" ht="60" x14ac:dyDescent="0.25">
      <c r="A96" s="19" t="s">
        <v>10177</v>
      </c>
      <c r="B96" s="17" t="s">
        <v>10176</v>
      </c>
      <c r="C96" s="20">
        <v>1</v>
      </c>
      <c r="D96" s="18">
        <v>79.5</v>
      </c>
      <c r="E96" s="20" t="s">
        <v>8467</v>
      </c>
      <c r="F96" s="17" t="s">
        <v>164</v>
      </c>
      <c r="G96" s="19" t="s">
        <v>351</v>
      </c>
      <c r="H96" s="18">
        <v>14.573333333333334</v>
      </c>
      <c r="I96" s="17" t="s">
        <v>267</v>
      </c>
      <c r="J96" s="17" t="s">
        <v>32</v>
      </c>
      <c r="K96" s="17"/>
      <c r="L96" s="17"/>
      <c r="M96" s="16" t="str">
        <f>HYPERLINK("http://slimages.macys.com/is/image/MCY/19267036 ")</f>
        <v xml:space="preserve">http://slimages.macys.com/is/image/MCY/19267036 </v>
      </c>
      <c r="N96" s="30"/>
    </row>
    <row r="97" spans="1:14" ht="60" x14ac:dyDescent="0.25">
      <c r="A97" s="19" t="s">
        <v>10175</v>
      </c>
      <c r="B97" s="17" t="s">
        <v>10174</v>
      </c>
      <c r="C97" s="20">
        <v>1</v>
      </c>
      <c r="D97" s="18">
        <v>89</v>
      </c>
      <c r="E97" s="20" t="s">
        <v>10173</v>
      </c>
      <c r="F97" s="17" t="s">
        <v>51</v>
      </c>
      <c r="G97" s="19" t="s">
        <v>197</v>
      </c>
      <c r="H97" s="18">
        <v>14.28</v>
      </c>
      <c r="I97" s="17" t="s">
        <v>4609</v>
      </c>
      <c r="J97" s="17" t="s">
        <v>4608</v>
      </c>
      <c r="K97" s="17"/>
      <c r="L97" s="17"/>
      <c r="M97" s="16" t="str">
        <f>HYPERLINK("http://slimages.macys.com/is/image/MCY/17564986 ")</f>
        <v xml:space="preserve">http://slimages.macys.com/is/image/MCY/17564986 </v>
      </c>
      <c r="N97" s="30"/>
    </row>
    <row r="98" spans="1:14" ht="60" x14ac:dyDescent="0.25">
      <c r="A98" s="19" t="s">
        <v>3687</v>
      </c>
      <c r="B98" s="17" t="s">
        <v>3686</v>
      </c>
      <c r="C98" s="20">
        <v>1</v>
      </c>
      <c r="D98" s="18">
        <v>69.5</v>
      </c>
      <c r="E98" s="20" t="s">
        <v>3677</v>
      </c>
      <c r="F98" s="17" t="s">
        <v>51</v>
      </c>
      <c r="G98" s="19" t="s">
        <v>197</v>
      </c>
      <c r="H98" s="18">
        <v>14.000000000000002</v>
      </c>
      <c r="I98" s="17" t="s">
        <v>106</v>
      </c>
      <c r="J98" s="17" t="s">
        <v>105</v>
      </c>
      <c r="K98" s="17"/>
      <c r="L98" s="17"/>
      <c r="M98" s="16" t="str">
        <f>HYPERLINK("http://slimages.macys.com/is/image/MCY/19027336 ")</f>
        <v xml:space="preserve">http://slimages.macys.com/is/image/MCY/19027336 </v>
      </c>
      <c r="N98" s="30"/>
    </row>
    <row r="99" spans="1:14" ht="84" x14ac:dyDescent="0.25">
      <c r="A99" s="19" t="s">
        <v>10172</v>
      </c>
      <c r="B99" s="17" t="s">
        <v>10171</v>
      </c>
      <c r="C99" s="20">
        <v>1</v>
      </c>
      <c r="D99" s="18">
        <v>69</v>
      </c>
      <c r="E99" s="20">
        <v>10543042</v>
      </c>
      <c r="F99" s="17" t="s">
        <v>51</v>
      </c>
      <c r="G99" s="19" t="s">
        <v>773</v>
      </c>
      <c r="H99" s="18">
        <v>13.34</v>
      </c>
      <c r="I99" s="17" t="s">
        <v>144</v>
      </c>
      <c r="J99" s="17" t="s">
        <v>143</v>
      </c>
      <c r="K99" s="17" t="s">
        <v>389</v>
      </c>
      <c r="L99" s="17" t="s">
        <v>3664</v>
      </c>
      <c r="M99" s="16" t="str">
        <f>HYPERLINK("http://slimages.macys.com/is/image/MCY/2659501 ")</f>
        <v xml:space="preserve">http://slimages.macys.com/is/image/MCY/2659501 </v>
      </c>
      <c r="N99" s="30"/>
    </row>
    <row r="100" spans="1:14" ht="60" x14ac:dyDescent="0.25">
      <c r="A100" s="19" t="s">
        <v>10170</v>
      </c>
      <c r="B100" s="17" t="s">
        <v>10169</v>
      </c>
      <c r="C100" s="20">
        <v>1</v>
      </c>
      <c r="D100" s="18">
        <v>69.5</v>
      </c>
      <c r="E100" s="20" t="s">
        <v>9557</v>
      </c>
      <c r="F100" s="17" t="s">
        <v>23</v>
      </c>
      <c r="G100" s="19" t="s">
        <v>139</v>
      </c>
      <c r="H100" s="18">
        <v>13.206666666666667</v>
      </c>
      <c r="I100" s="17" t="s">
        <v>540</v>
      </c>
      <c r="J100" s="17" t="s">
        <v>105</v>
      </c>
      <c r="K100" s="17"/>
      <c r="L100" s="17"/>
      <c r="M100" s="16" t="str">
        <f>HYPERLINK("http://slimages.macys.com/is/image/MCY/18889454 ")</f>
        <v xml:space="preserve">http://slimages.macys.com/is/image/MCY/18889454 </v>
      </c>
      <c r="N100" s="30"/>
    </row>
    <row r="101" spans="1:14" ht="144" x14ac:dyDescent="0.25">
      <c r="A101" s="19" t="s">
        <v>10168</v>
      </c>
      <c r="B101" s="17" t="s">
        <v>10167</v>
      </c>
      <c r="C101" s="20">
        <v>1</v>
      </c>
      <c r="D101" s="18">
        <v>79</v>
      </c>
      <c r="E101" s="20">
        <v>8120801</v>
      </c>
      <c r="F101" s="17" t="s">
        <v>91</v>
      </c>
      <c r="G101" s="19" t="s">
        <v>62</v>
      </c>
      <c r="H101" s="18">
        <v>13.166666666666668</v>
      </c>
      <c r="I101" s="17" t="s">
        <v>129</v>
      </c>
      <c r="J101" s="17" t="s">
        <v>128</v>
      </c>
      <c r="K101" s="17" t="s">
        <v>637</v>
      </c>
      <c r="L101" s="17" t="s">
        <v>10166</v>
      </c>
      <c r="M101" s="16" t="str">
        <f>HYPERLINK("http://images.bloomingdales.com/is/image/BLM/10995626 ")</f>
        <v xml:space="preserve">http://images.bloomingdales.com/is/image/BLM/10995626 </v>
      </c>
      <c r="N101" s="30"/>
    </row>
    <row r="102" spans="1:14" ht="60" x14ac:dyDescent="0.25">
      <c r="A102" s="19" t="s">
        <v>10165</v>
      </c>
      <c r="B102" s="17" t="s">
        <v>10164</v>
      </c>
      <c r="C102" s="20">
        <v>1</v>
      </c>
      <c r="D102" s="18">
        <v>79</v>
      </c>
      <c r="E102" s="20" t="s">
        <v>10159</v>
      </c>
      <c r="F102" s="17" t="s">
        <v>413</v>
      </c>
      <c r="G102" s="19" t="s">
        <v>50</v>
      </c>
      <c r="H102" s="18">
        <v>13.166666666666668</v>
      </c>
      <c r="I102" s="17" t="s">
        <v>129</v>
      </c>
      <c r="J102" s="17" t="s">
        <v>128</v>
      </c>
      <c r="K102" s="17"/>
      <c r="L102" s="17"/>
      <c r="M102" s="16" t="str">
        <f>HYPERLINK("http://slimages.macys.com/is/image/MCY/19192715 ")</f>
        <v xml:space="preserve">http://slimages.macys.com/is/image/MCY/19192715 </v>
      </c>
      <c r="N102" s="30"/>
    </row>
    <row r="103" spans="1:14" ht="60" x14ac:dyDescent="0.25">
      <c r="A103" s="19" t="s">
        <v>10163</v>
      </c>
      <c r="B103" s="17" t="s">
        <v>10162</v>
      </c>
      <c r="C103" s="20">
        <v>1</v>
      </c>
      <c r="D103" s="18">
        <v>79</v>
      </c>
      <c r="E103" s="20" t="s">
        <v>10159</v>
      </c>
      <c r="F103" s="17" t="s">
        <v>413</v>
      </c>
      <c r="G103" s="19" t="s">
        <v>43</v>
      </c>
      <c r="H103" s="18">
        <v>13.166666666666668</v>
      </c>
      <c r="I103" s="17" t="s">
        <v>129</v>
      </c>
      <c r="J103" s="17" t="s">
        <v>128</v>
      </c>
      <c r="K103" s="17"/>
      <c r="L103" s="17"/>
      <c r="M103" s="16" t="str">
        <f>HYPERLINK("http://slimages.macys.com/is/image/MCY/19192715 ")</f>
        <v xml:space="preserve">http://slimages.macys.com/is/image/MCY/19192715 </v>
      </c>
      <c r="N103" s="30"/>
    </row>
    <row r="104" spans="1:14" ht="60" x14ac:dyDescent="0.25">
      <c r="A104" s="19" t="s">
        <v>10161</v>
      </c>
      <c r="B104" s="17" t="s">
        <v>10160</v>
      </c>
      <c r="C104" s="20">
        <v>1</v>
      </c>
      <c r="D104" s="18">
        <v>79</v>
      </c>
      <c r="E104" s="20" t="s">
        <v>10159</v>
      </c>
      <c r="F104" s="17" t="s">
        <v>413</v>
      </c>
      <c r="G104" s="19" t="s">
        <v>62</v>
      </c>
      <c r="H104" s="18">
        <v>13.166666666666668</v>
      </c>
      <c r="I104" s="17" t="s">
        <v>129</v>
      </c>
      <c r="J104" s="17" t="s">
        <v>128</v>
      </c>
      <c r="K104" s="17"/>
      <c r="L104" s="17"/>
      <c r="M104" s="16" t="str">
        <f>HYPERLINK("http://slimages.macys.com/is/image/MCY/19192715 ")</f>
        <v xml:space="preserve">http://slimages.macys.com/is/image/MCY/19192715 </v>
      </c>
      <c r="N104" s="30"/>
    </row>
    <row r="105" spans="1:14" ht="60" x14ac:dyDescent="0.25">
      <c r="A105" s="19" t="s">
        <v>10158</v>
      </c>
      <c r="B105" s="17" t="s">
        <v>10157</v>
      </c>
      <c r="C105" s="20">
        <v>1</v>
      </c>
      <c r="D105" s="18">
        <v>69.5</v>
      </c>
      <c r="E105" s="20" t="s">
        <v>8416</v>
      </c>
      <c r="F105" s="17" t="s">
        <v>23</v>
      </c>
      <c r="G105" s="19" t="s">
        <v>116</v>
      </c>
      <c r="H105" s="18">
        <v>13.086666666666668</v>
      </c>
      <c r="I105" s="17" t="s">
        <v>68</v>
      </c>
      <c r="J105" s="17" t="s">
        <v>67</v>
      </c>
      <c r="K105" s="17"/>
      <c r="L105" s="17"/>
      <c r="M105" s="16" t="str">
        <f>HYPERLINK("http://slimages.macys.com/is/image/MCY/18855032 ")</f>
        <v xml:space="preserve">http://slimages.macys.com/is/image/MCY/18855032 </v>
      </c>
      <c r="N105" s="30"/>
    </row>
    <row r="106" spans="1:14" ht="96" x14ac:dyDescent="0.25">
      <c r="A106" s="19" t="s">
        <v>10156</v>
      </c>
      <c r="B106" s="17" t="s">
        <v>10155</v>
      </c>
      <c r="C106" s="20">
        <v>1</v>
      </c>
      <c r="D106" s="18">
        <v>69.5</v>
      </c>
      <c r="E106" s="20" t="s">
        <v>10154</v>
      </c>
      <c r="F106" s="17" t="s">
        <v>23</v>
      </c>
      <c r="G106" s="19" t="s">
        <v>57</v>
      </c>
      <c r="H106" s="18">
        <v>13.086666666666668</v>
      </c>
      <c r="I106" s="17" t="s">
        <v>68</v>
      </c>
      <c r="J106" s="17" t="s">
        <v>67</v>
      </c>
      <c r="K106" s="17" t="s">
        <v>389</v>
      </c>
      <c r="L106" s="17" t="s">
        <v>10153</v>
      </c>
      <c r="M106" s="16" t="str">
        <f>HYPERLINK("http://slimages.macys.com/is/image/MCY/16497592 ")</f>
        <v xml:space="preserve">http://slimages.macys.com/is/image/MCY/16497592 </v>
      </c>
      <c r="N106" s="30"/>
    </row>
    <row r="107" spans="1:14" ht="60" x14ac:dyDescent="0.25">
      <c r="A107" s="19" t="s">
        <v>10152</v>
      </c>
      <c r="B107" s="17" t="s">
        <v>10151</v>
      </c>
      <c r="C107" s="20">
        <v>1</v>
      </c>
      <c r="D107" s="18">
        <v>69.5</v>
      </c>
      <c r="E107" s="20" t="s">
        <v>5071</v>
      </c>
      <c r="F107" s="17" t="s">
        <v>63</v>
      </c>
      <c r="G107" s="19" t="s">
        <v>69</v>
      </c>
      <c r="H107" s="18">
        <v>13.086666666666668</v>
      </c>
      <c r="I107" s="17" t="s">
        <v>68</v>
      </c>
      <c r="J107" s="17" t="s">
        <v>67</v>
      </c>
      <c r="K107" s="17"/>
      <c r="L107" s="17"/>
      <c r="M107" s="16" t="str">
        <f>HYPERLINK("http://slimages.macys.com/is/image/MCY/18856825 ")</f>
        <v xml:space="preserve">http://slimages.macys.com/is/image/MCY/18856825 </v>
      </c>
      <c r="N107" s="30"/>
    </row>
    <row r="108" spans="1:14" ht="60" x14ac:dyDescent="0.25">
      <c r="A108" s="19" t="s">
        <v>8389</v>
      </c>
      <c r="B108" s="17" t="s">
        <v>8388</v>
      </c>
      <c r="C108" s="20">
        <v>1</v>
      </c>
      <c r="D108" s="18">
        <v>51.75</v>
      </c>
      <c r="E108" s="20" t="s">
        <v>8387</v>
      </c>
      <c r="F108" s="17" t="s">
        <v>575</v>
      </c>
      <c r="G108" s="19" t="s">
        <v>271</v>
      </c>
      <c r="H108" s="18">
        <v>13.020000000000001</v>
      </c>
      <c r="I108" s="17" t="s">
        <v>358</v>
      </c>
      <c r="J108" s="17" t="s">
        <v>32</v>
      </c>
      <c r="K108" s="17"/>
      <c r="L108" s="17"/>
      <c r="M108" s="16" t="str">
        <f>HYPERLINK("http://slimages.macys.com/is/image/MCY/18994280 ")</f>
        <v xml:space="preserve">http://slimages.macys.com/is/image/MCY/18994280 </v>
      </c>
      <c r="N108" s="30"/>
    </row>
    <row r="109" spans="1:14" ht="60" x14ac:dyDescent="0.25">
      <c r="A109" s="19" t="s">
        <v>5757</v>
      </c>
      <c r="B109" s="17" t="s">
        <v>5756</v>
      </c>
      <c r="C109" s="20">
        <v>1</v>
      </c>
      <c r="D109" s="18">
        <v>59</v>
      </c>
      <c r="E109" s="20" t="s">
        <v>3595</v>
      </c>
      <c r="F109" s="17" t="s">
        <v>3009</v>
      </c>
      <c r="G109" s="19" t="s">
        <v>22</v>
      </c>
      <c r="H109" s="18">
        <v>13.020000000000001</v>
      </c>
      <c r="I109" s="17" t="s">
        <v>49</v>
      </c>
      <c r="J109" s="17" t="s">
        <v>48</v>
      </c>
      <c r="K109" s="17"/>
      <c r="L109" s="17"/>
      <c r="M109" s="16" t="str">
        <f>HYPERLINK("http://slimages.macys.com/is/image/MCY/16632936 ")</f>
        <v xml:space="preserve">http://slimages.macys.com/is/image/MCY/16632936 </v>
      </c>
      <c r="N109" s="30"/>
    </row>
    <row r="110" spans="1:14" ht="60" x14ac:dyDescent="0.25">
      <c r="A110" s="19" t="s">
        <v>10150</v>
      </c>
      <c r="B110" s="17" t="s">
        <v>10149</v>
      </c>
      <c r="C110" s="20">
        <v>1</v>
      </c>
      <c r="D110" s="18">
        <v>69</v>
      </c>
      <c r="E110" s="20" t="s">
        <v>8378</v>
      </c>
      <c r="F110" s="17" t="s">
        <v>23</v>
      </c>
      <c r="G110" s="19" t="s">
        <v>69</v>
      </c>
      <c r="H110" s="18">
        <v>12.9</v>
      </c>
      <c r="I110" s="17" t="s">
        <v>820</v>
      </c>
      <c r="J110" s="17" t="s">
        <v>67</v>
      </c>
      <c r="K110" s="17"/>
      <c r="L110" s="17"/>
      <c r="M110" s="16" t="str">
        <f>HYPERLINK("http://slimages.macys.com/is/image/MCY/19345209 ")</f>
        <v xml:space="preserve">http://slimages.macys.com/is/image/MCY/19345209 </v>
      </c>
      <c r="N110" s="30"/>
    </row>
    <row r="111" spans="1:14" ht="60" x14ac:dyDescent="0.25">
      <c r="A111" s="19" t="s">
        <v>9481</v>
      </c>
      <c r="B111" s="17" t="s">
        <v>9480</v>
      </c>
      <c r="C111" s="20">
        <v>1</v>
      </c>
      <c r="D111" s="18">
        <v>69.5</v>
      </c>
      <c r="E111" s="20" t="s">
        <v>8369</v>
      </c>
      <c r="F111" s="17" t="s">
        <v>51</v>
      </c>
      <c r="G111" s="19" t="s">
        <v>271</v>
      </c>
      <c r="H111" s="18">
        <v>12.74</v>
      </c>
      <c r="I111" s="17" t="s">
        <v>267</v>
      </c>
      <c r="J111" s="17" t="s">
        <v>32</v>
      </c>
      <c r="K111" s="17"/>
      <c r="L111" s="17"/>
      <c r="M111" s="16" t="str">
        <f>HYPERLINK("http://slimages.macys.com/is/image/MCY/19267124 ")</f>
        <v xml:space="preserve">http://slimages.macys.com/is/image/MCY/19267124 </v>
      </c>
      <c r="N111" s="30"/>
    </row>
    <row r="112" spans="1:14" ht="60" x14ac:dyDescent="0.25">
      <c r="A112" s="19" t="s">
        <v>10148</v>
      </c>
      <c r="B112" s="17" t="s">
        <v>10147</v>
      </c>
      <c r="C112" s="20">
        <v>1</v>
      </c>
      <c r="D112" s="18">
        <v>69</v>
      </c>
      <c r="E112" s="20" t="s">
        <v>10146</v>
      </c>
      <c r="F112" s="17" t="s">
        <v>58</v>
      </c>
      <c r="G112" s="19" t="s">
        <v>57</v>
      </c>
      <c r="H112" s="18">
        <v>12.74</v>
      </c>
      <c r="I112" s="17" t="s">
        <v>405</v>
      </c>
      <c r="J112" s="17" t="s">
        <v>404</v>
      </c>
      <c r="K112" s="17"/>
      <c r="L112" s="17"/>
      <c r="M112" s="16" t="str">
        <f>HYPERLINK("http://slimages.macys.com/is/image/MCY/17883881 ")</f>
        <v xml:space="preserve">http://slimages.macys.com/is/image/MCY/17883881 </v>
      </c>
      <c r="N112" s="30"/>
    </row>
    <row r="113" spans="1:14" ht="60" x14ac:dyDescent="0.25">
      <c r="A113" s="19" t="s">
        <v>10145</v>
      </c>
      <c r="B113" s="17" t="s">
        <v>10144</v>
      </c>
      <c r="C113" s="20">
        <v>1</v>
      </c>
      <c r="D113" s="18">
        <v>69</v>
      </c>
      <c r="E113" s="20" t="s">
        <v>10143</v>
      </c>
      <c r="F113" s="17" t="s">
        <v>58</v>
      </c>
      <c r="G113" s="19" t="s">
        <v>197</v>
      </c>
      <c r="H113" s="18">
        <v>12.74</v>
      </c>
      <c r="I113" s="17" t="s">
        <v>405</v>
      </c>
      <c r="J113" s="17" t="s">
        <v>404</v>
      </c>
      <c r="K113" s="17"/>
      <c r="L113" s="17"/>
      <c r="M113" s="16" t="str">
        <f>HYPERLINK("http://slimages.macys.com/is/image/MCY/17911133 ")</f>
        <v xml:space="preserve">http://slimages.macys.com/is/image/MCY/17911133 </v>
      </c>
      <c r="N113" s="30"/>
    </row>
    <row r="114" spans="1:14" ht="60" x14ac:dyDescent="0.25">
      <c r="A114" s="19" t="s">
        <v>10142</v>
      </c>
      <c r="B114" s="17" t="s">
        <v>10141</v>
      </c>
      <c r="C114" s="20">
        <v>1</v>
      </c>
      <c r="D114" s="18">
        <v>59.5</v>
      </c>
      <c r="E114" s="20" t="s">
        <v>10140</v>
      </c>
      <c r="F114" s="17" t="s">
        <v>51</v>
      </c>
      <c r="G114" s="19" t="s">
        <v>62</v>
      </c>
      <c r="H114" s="18">
        <v>12.666666666666666</v>
      </c>
      <c r="I114" s="17" t="s">
        <v>80</v>
      </c>
      <c r="J114" s="17" t="s">
        <v>531</v>
      </c>
      <c r="K114" s="17"/>
      <c r="L114" s="17"/>
      <c r="M114" s="16" t="str">
        <f>HYPERLINK("http://slimages.macys.com/is/image/MCY/18518675 ")</f>
        <v xml:space="preserve">http://slimages.macys.com/is/image/MCY/18518675 </v>
      </c>
      <c r="N114" s="30"/>
    </row>
    <row r="115" spans="1:14" ht="60" x14ac:dyDescent="0.25">
      <c r="A115" s="19" t="s">
        <v>10139</v>
      </c>
      <c r="B115" s="17" t="s">
        <v>10138</v>
      </c>
      <c r="C115" s="20">
        <v>1</v>
      </c>
      <c r="D115" s="18">
        <v>69</v>
      </c>
      <c r="E115" s="20" t="s">
        <v>10137</v>
      </c>
      <c r="F115" s="17" t="s">
        <v>1536</v>
      </c>
      <c r="G115" s="19" t="s">
        <v>1292</v>
      </c>
      <c r="H115" s="18">
        <v>12.666666666666666</v>
      </c>
      <c r="I115" s="17" t="s">
        <v>550</v>
      </c>
      <c r="J115" s="17" t="s">
        <v>1448</v>
      </c>
      <c r="K115" s="17"/>
      <c r="L115" s="17"/>
      <c r="M115" s="16" t="str">
        <f>HYPERLINK("http://slimages.macys.com/is/image/MCY/18125884 ")</f>
        <v xml:space="preserve">http://slimages.macys.com/is/image/MCY/18125884 </v>
      </c>
      <c r="N115" s="30"/>
    </row>
    <row r="116" spans="1:14" ht="60" x14ac:dyDescent="0.25">
      <c r="A116" s="19" t="s">
        <v>10136</v>
      </c>
      <c r="B116" s="17" t="s">
        <v>10135</v>
      </c>
      <c r="C116" s="20">
        <v>2</v>
      </c>
      <c r="D116" s="18">
        <v>39.99</v>
      </c>
      <c r="E116" s="20" t="s">
        <v>9463</v>
      </c>
      <c r="F116" s="17" t="s">
        <v>58</v>
      </c>
      <c r="G116" s="19"/>
      <c r="H116" s="18">
        <v>12.6</v>
      </c>
      <c r="I116" s="17" t="s">
        <v>42</v>
      </c>
      <c r="J116" s="17" t="s">
        <v>41</v>
      </c>
      <c r="K116" s="17"/>
      <c r="L116" s="17"/>
      <c r="M116" s="16" t="str">
        <f>HYPERLINK("http://slimages.macys.com/is/image/MCY/16540173 ")</f>
        <v xml:space="preserve">http://slimages.macys.com/is/image/MCY/16540173 </v>
      </c>
      <c r="N116" s="30"/>
    </row>
    <row r="117" spans="1:14" ht="60" x14ac:dyDescent="0.25">
      <c r="A117" s="19" t="s">
        <v>10134</v>
      </c>
      <c r="B117" s="17" t="s">
        <v>10133</v>
      </c>
      <c r="C117" s="20">
        <v>1</v>
      </c>
      <c r="D117" s="18">
        <v>50</v>
      </c>
      <c r="E117" s="20" t="s">
        <v>10132</v>
      </c>
      <c r="F117" s="17"/>
      <c r="G117" s="19" t="s">
        <v>74</v>
      </c>
      <c r="H117" s="18">
        <v>12.333333333333334</v>
      </c>
      <c r="I117" s="17" t="s">
        <v>80</v>
      </c>
      <c r="J117" s="17" t="s">
        <v>187</v>
      </c>
      <c r="K117" s="17" t="s">
        <v>389</v>
      </c>
      <c r="L117" s="17" t="s">
        <v>1044</v>
      </c>
      <c r="M117" s="16" t="str">
        <f>HYPERLINK("http://slimages.macys.com/is/image/MCY/12934275 ")</f>
        <v xml:space="preserve">http://slimages.macys.com/is/image/MCY/12934275 </v>
      </c>
      <c r="N117" s="30"/>
    </row>
    <row r="118" spans="1:14" ht="60" x14ac:dyDescent="0.25">
      <c r="A118" s="19" t="s">
        <v>10131</v>
      </c>
      <c r="B118" s="17" t="s">
        <v>10130</v>
      </c>
      <c r="C118" s="20">
        <v>1</v>
      </c>
      <c r="D118" s="18">
        <v>59</v>
      </c>
      <c r="E118" s="20">
        <v>10756588</v>
      </c>
      <c r="F118" s="17" t="s">
        <v>345</v>
      </c>
      <c r="G118" s="19" t="s">
        <v>74</v>
      </c>
      <c r="H118" s="18">
        <v>12.193333333333333</v>
      </c>
      <c r="I118" s="17" t="s">
        <v>144</v>
      </c>
      <c r="J118" s="17" t="s">
        <v>143</v>
      </c>
      <c r="K118" s="17" t="s">
        <v>389</v>
      </c>
      <c r="L118" s="17" t="s">
        <v>1359</v>
      </c>
      <c r="M118" s="16" t="str">
        <f>HYPERLINK("http://slimages.macys.com/is/image/MCY/16352208 ")</f>
        <v xml:space="preserve">http://slimages.macys.com/is/image/MCY/16352208 </v>
      </c>
      <c r="N118" s="30"/>
    </row>
    <row r="119" spans="1:14" ht="60" x14ac:dyDescent="0.25">
      <c r="A119" s="19" t="s">
        <v>10129</v>
      </c>
      <c r="B119" s="17" t="s">
        <v>10128</v>
      </c>
      <c r="C119" s="20">
        <v>1</v>
      </c>
      <c r="D119" s="18">
        <v>59.5</v>
      </c>
      <c r="E119" s="20" t="s">
        <v>10127</v>
      </c>
      <c r="F119" s="17" t="s">
        <v>345</v>
      </c>
      <c r="G119" s="19" t="s">
        <v>197</v>
      </c>
      <c r="H119" s="18">
        <v>11.986666666666668</v>
      </c>
      <c r="I119" s="17" t="s">
        <v>106</v>
      </c>
      <c r="J119" s="17" t="s">
        <v>105</v>
      </c>
      <c r="K119" s="17"/>
      <c r="L119" s="17"/>
      <c r="M119" s="16" t="str">
        <f>HYPERLINK("http://slimages.macys.com/is/image/MCY/17807710 ")</f>
        <v xml:space="preserve">http://slimages.macys.com/is/image/MCY/17807710 </v>
      </c>
      <c r="N119" s="30"/>
    </row>
    <row r="120" spans="1:14" ht="60" x14ac:dyDescent="0.25">
      <c r="A120" s="19" t="s">
        <v>10126</v>
      </c>
      <c r="B120" s="17" t="s">
        <v>10125</v>
      </c>
      <c r="C120" s="20">
        <v>1</v>
      </c>
      <c r="D120" s="18">
        <v>69.5</v>
      </c>
      <c r="E120" s="20" t="s">
        <v>10124</v>
      </c>
      <c r="F120" s="17" t="s">
        <v>23</v>
      </c>
      <c r="G120" s="19" t="s">
        <v>69</v>
      </c>
      <c r="H120" s="18">
        <v>11.78</v>
      </c>
      <c r="I120" s="17" t="s">
        <v>68</v>
      </c>
      <c r="J120" s="17" t="s">
        <v>67</v>
      </c>
      <c r="K120" s="17" t="s">
        <v>389</v>
      </c>
      <c r="L120" s="17" t="s">
        <v>1359</v>
      </c>
      <c r="M120" s="16" t="str">
        <f>HYPERLINK("http://slimages.macys.com/is/image/MCY/13339693 ")</f>
        <v xml:space="preserve">http://slimages.macys.com/is/image/MCY/13339693 </v>
      </c>
      <c r="N120" s="30"/>
    </row>
    <row r="121" spans="1:14" ht="72" x14ac:dyDescent="0.25">
      <c r="A121" s="19" t="s">
        <v>10123</v>
      </c>
      <c r="B121" s="17" t="s">
        <v>10122</v>
      </c>
      <c r="C121" s="20">
        <v>1</v>
      </c>
      <c r="D121" s="18">
        <v>69</v>
      </c>
      <c r="E121" s="20" t="s">
        <v>10121</v>
      </c>
      <c r="F121" s="17" t="s">
        <v>51</v>
      </c>
      <c r="G121" s="19" t="s">
        <v>69</v>
      </c>
      <c r="H121" s="18">
        <v>11.500000000000002</v>
      </c>
      <c r="I121" s="17" t="s">
        <v>129</v>
      </c>
      <c r="J121" s="17" t="s">
        <v>10120</v>
      </c>
      <c r="K121" s="17" t="s">
        <v>389</v>
      </c>
      <c r="L121" s="17" t="s">
        <v>10119</v>
      </c>
      <c r="M121" s="16" t="str">
        <f>HYPERLINK("http://slimages.macys.com/is/image/MCY/15361055 ")</f>
        <v xml:space="preserve">http://slimages.macys.com/is/image/MCY/15361055 </v>
      </c>
      <c r="N121" s="30"/>
    </row>
    <row r="122" spans="1:14" ht="60" x14ac:dyDescent="0.25">
      <c r="A122" s="19" t="s">
        <v>9422</v>
      </c>
      <c r="B122" s="17" t="s">
        <v>9421</v>
      </c>
      <c r="C122" s="20">
        <v>1</v>
      </c>
      <c r="D122" s="18">
        <v>69</v>
      </c>
      <c r="E122" s="20" t="s">
        <v>9420</v>
      </c>
      <c r="F122" s="17" t="s">
        <v>578</v>
      </c>
      <c r="G122" s="19" t="s">
        <v>101</v>
      </c>
      <c r="H122" s="18">
        <v>11.500000000000002</v>
      </c>
      <c r="I122" s="17" t="s">
        <v>129</v>
      </c>
      <c r="J122" s="17" t="s">
        <v>128</v>
      </c>
      <c r="K122" s="17"/>
      <c r="L122" s="17"/>
      <c r="M122" s="16" t="str">
        <f>HYPERLINK("http://slimages.macys.com/is/image/MCY/19463032 ")</f>
        <v xml:space="preserve">http://slimages.macys.com/is/image/MCY/19463032 </v>
      </c>
      <c r="N122" s="30"/>
    </row>
    <row r="123" spans="1:14" ht="60" x14ac:dyDescent="0.25">
      <c r="A123" s="19" t="s">
        <v>10118</v>
      </c>
      <c r="B123" s="17" t="s">
        <v>10117</v>
      </c>
      <c r="C123" s="20">
        <v>1</v>
      </c>
      <c r="D123" s="18">
        <v>59.5</v>
      </c>
      <c r="E123" s="20" t="s">
        <v>10116</v>
      </c>
      <c r="F123" s="17" t="s">
        <v>28</v>
      </c>
      <c r="G123" s="19" t="s">
        <v>69</v>
      </c>
      <c r="H123" s="18">
        <v>11.206666666666667</v>
      </c>
      <c r="I123" s="17" t="s">
        <v>68</v>
      </c>
      <c r="J123" s="17" t="s">
        <v>67</v>
      </c>
      <c r="K123" s="17"/>
      <c r="L123" s="17"/>
      <c r="M123" s="16" t="str">
        <f>HYPERLINK("http://slimages.macys.com/is/image/MCY/18855775 ")</f>
        <v xml:space="preserve">http://slimages.macys.com/is/image/MCY/18855775 </v>
      </c>
      <c r="N123" s="30"/>
    </row>
    <row r="124" spans="1:14" ht="60" x14ac:dyDescent="0.25">
      <c r="A124" s="19" t="s">
        <v>9409</v>
      </c>
      <c r="B124" s="17" t="s">
        <v>9408</v>
      </c>
      <c r="C124" s="20">
        <v>1</v>
      </c>
      <c r="D124" s="18">
        <v>59.5</v>
      </c>
      <c r="E124" s="20" t="s">
        <v>7298</v>
      </c>
      <c r="F124" s="17" t="s">
        <v>58</v>
      </c>
      <c r="G124" s="19" t="s">
        <v>57</v>
      </c>
      <c r="H124" s="18">
        <v>11.206666666666667</v>
      </c>
      <c r="I124" s="17" t="s">
        <v>56</v>
      </c>
      <c r="J124" s="17" t="s">
        <v>55</v>
      </c>
      <c r="K124" s="17"/>
      <c r="L124" s="17"/>
      <c r="M124" s="16" t="str">
        <f>HYPERLINK("http://slimages.macys.com/is/image/MCY/18863080 ")</f>
        <v xml:space="preserve">http://slimages.macys.com/is/image/MCY/18863080 </v>
      </c>
      <c r="N124" s="30"/>
    </row>
    <row r="125" spans="1:14" ht="60" x14ac:dyDescent="0.25">
      <c r="A125" s="19" t="s">
        <v>10115</v>
      </c>
      <c r="B125" s="17" t="s">
        <v>10114</v>
      </c>
      <c r="C125" s="20">
        <v>1</v>
      </c>
      <c r="D125" s="18">
        <v>59.5</v>
      </c>
      <c r="E125" s="20" t="s">
        <v>8290</v>
      </c>
      <c r="F125" s="17" t="s">
        <v>58</v>
      </c>
      <c r="G125" s="19" t="s">
        <v>197</v>
      </c>
      <c r="H125" s="18">
        <v>11.206666666666667</v>
      </c>
      <c r="I125" s="17" t="s">
        <v>56</v>
      </c>
      <c r="J125" s="17" t="s">
        <v>55</v>
      </c>
      <c r="K125" s="17"/>
      <c r="L125" s="17"/>
      <c r="M125" s="16" t="str">
        <f>HYPERLINK("http://slimages.macys.com/is/image/MCY/19018528 ")</f>
        <v xml:space="preserve">http://slimages.macys.com/is/image/MCY/19018528 </v>
      </c>
      <c r="N125" s="30"/>
    </row>
    <row r="126" spans="1:14" ht="60" x14ac:dyDescent="0.25">
      <c r="A126" s="19" t="s">
        <v>10113</v>
      </c>
      <c r="B126" s="17" t="s">
        <v>10112</v>
      </c>
      <c r="C126" s="20">
        <v>1</v>
      </c>
      <c r="D126" s="18">
        <v>44.25</v>
      </c>
      <c r="E126" s="20" t="s">
        <v>1850</v>
      </c>
      <c r="F126" s="17" t="s">
        <v>575</v>
      </c>
      <c r="G126" s="19"/>
      <c r="H126" s="18">
        <v>11.133333333333333</v>
      </c>
      <c r="I126" s="17" t="s">
        <v>33</v>
      </c>
      <c r="J126" s="17" t="s">
        <v>32</v>
      </c>
      <c r="K126" s="17"/>
      <c r="L126" s="17"/>
      <c r="M126" s="16" t="str">
        <f>HYPERLINK("http://slimages.macys.com/is/image/MCY/18986780 ")</f>
        <v xml:space="preserve">http://slimages.macys.com/is/image/MCY/18986780 </v>
      </c>
      <c r="N126" s="30"/>
    </row>
    <row r="127" spans="1:14" ht="60" x14ac:dyDescent="0.25">
      <c r="A127" s="19" t="s">
        <v>10111</v>
      </c>
      <c r="B127" s="17" t="s">
        <v>10110</v>
      </c>
      <c r="C127" s="20">
        <v>1</v>
      </c>
      <c r="D127" s="18">
        <v>44.5</v>
      </c>
      <c r="E127" s="20" t="s">
        <v>10109</v>
      </c>
      <c r="F127" s="17" t="s">
        <v>63</v>
      </c>
      <c r="G127" s="19" t="s">
        <v>271</v>
      </c>
      <c r="H127" s="18">
        <v>10.386666666666667</v>
      </c>
      <c r="I127" s="17" t="s">
        <v>1891</v>
      </c>
      <c r="J127" s="17" t="s">
        <v>67</v>
      </c>
      <c r="K127" s="17" t="s">
        <v>389</v>
      </c>
      <c r="L127" s="17" t="s">
        <v>1724</v>
      </c>
      <c r="M127" s="16" t="str">
        <f>HYPERLINK("http://slimages.macys.com/is/image/MCY/16326608 ")</f>
        <v xml:space="preserve">http://slimages.macys.com/is/image/MCY/16326608 </v>
      </c>
      <c r="N127" s="30"/>
    </row>
    <row r="128" spans="1:14" ht="60" x14ac:dyDescent="0.25">
      <c r="A128" s="19" t="s">
        <v>10108</v>
      </c>
      <c r="B128" s="17" t="s">
        <v>10107</v>
      </c>
      <c r="C128" s="20">
        <v>1</v>
      </c>
      <c r="D128" s="18">
        <v>69</v>
      </c>
      <c r="E128" s="20">
        <v>2321703</v>
      </c>
      <c r="F128" s="17" t="s">
        <v>28</v>
      </c>
      <c r="G128" s="19" t="s">
        <v>22</v>
      </c>
      <c r="H128" s="18">
        <v>10</v>
      </c>
      <c r="I128" s="17" t="s">
        <v>80</v>
      </c>
      <c r="J128" s="17" t="s">
        <v>293</v>
      </c>
      <c r="K128" s="17"/>
      <c r="L128" s="17"/>
      <c r="M128" s="16" t="str">
        <f>HYPERLINK("http://slimages.macys.com/is/image/MCY/18917745 ")</f>
        <v xml:space="preserve">http://slimages.macys.com/is/image/MCY/18917745 </v>
      </c>
      <c r="N128" s="30"/>
    </row>
    <row r="129" spans="1:14" ht="60" x14ac:dyDescent="0.25">
      <c r="A129" s="19" t="s">
        <v>7213</v>
      </c>
      <c r="B129" s="17" t="s">
        <v>7212</v>
      </c>
      <c r="C129" s="20">
        <v>1</v>
      </c>
      <c r="D129" s="18">
        <v>54.5</v>
      </c>
      <c r="E129" s="20" t="s">
        <v>1827</v>
      </c>
      <c r="F129" s="17" t="s">
        <v>140</v>
      </c>
      <c r="G129" s="19" t="s">
        <v>139</v>
      </c>
      <c r="H129" s="18">
        <v>9.9933333333333341</v>
      </c>
      <c r="I129" s="17" t="s">
        <v>267</v>
      </c>
      <c r="J129" s="17" t="s">
        <v>32</v>
      </c>
      <c r="K129" s="17"/>
      <c r="L129" s="17"/>
      <c r="M129" s="16" t="str">
        <f>HYPERLINK("http://slimages.macys.com/is/image/MCY/19124153 ")</f>
        <v xml:space="preserve">http://slimages.macys.com/is/image/MCY/19124153 </v>
      </c>
      <c r="N129" s="30"/>
    </row>
    <row r="130" spans="1:14" ht="60" x14ac:dyDescent="0.25">
      <c r="A130" s="19" t="s">
        <v>10106</v>
      </c>
      <c r="B130" s="17" t="s">
        <v>10105</v>
      </c>
      <c r="C130" s="20">
        <v>1</v>
      </c>
      <c r="D130" s="18">
        <v>44</v>
      </c>
      <c r="E130" s="20" t="s">
        <v>305</v>
      </c>
      <c r="F130" s="17" t="s">
        <v>575</v>
      </c>
      <c r="G130" s="19" t="s">
        <v>22</v>
      </c>
      <c r="H130" s="18">
        <v>9.706666666666667</v>
      </c>
      <c r="I130" s="17" t="s">
        <v>49</v>
      </c>
      <c r="J130" s="17" t="s">
        <v>48</v>
      </c>
      <c r="K130" s="17"/>
      <c r="L130" s="17"/>
      <c r="M130" s="16" t="str">
        <f>HYPERLINK("http://slimages.macys.com/is/image/MCY/19379386 ")</f>
        <v xml:space="preserve">http://slimages.macys.com/is/image/MCY/19379386 </v>
      </c>
      <c r="N130" s="30"/>
    </row>
    <row r="131" spans="1:14" ht="60" x14ac:dyDescent="0.25">
      <c r="A131" s="19" t="s">
        <v>10104</v>
      </c>
      <c r="B131" s="17" t="s">
        <v>10103</v>
      </c>
      <c r="C131" s="20">
        <v>1</v>
      </c>
      <c r="D131" s="18">
        <v>59</v>
      </c>
      <c r="E131" s="20">
        <v>2360304</v>
      </c>
      <c r="F131" s="17" t="s">
        <v>63</v>
      </c>
      <c r="G131" s="19" t="s">
        <v>116</v>
      </c>
      <c r="H131" s="18">
        <v>9.6666666666666661</v>
      </c>
      <c r="I131" s="17" t="s">
        <v>80</v>
      </c>
      <c r="J131" s="17" t="s">
        <v>293</v>
      </c>
      <c r="K131" s="17"/>
      <c r="L131" s="17"/>
      <c r="M131" s="16" t="str">
        <f>HYPERLINK("http://slimages.macys.com/is/image/MCY/19376602 ")</f>
        <v xml:space="preserve">http://slimages.macys.com/is/image/MCY/19376602 </v>
      </c>
      <c r="N131" s="30"/>
    </row>
    <row r="132" spans="1:14" ht="60" x14ac:dyDescent="0.25">
      <c r="A132" s="19" t="s">
        <v>10102</v>
      </c>
      <c r="B132" s="17" t="s">
        <v>10101</v>
      </c>
      <c r="C132" s="20">
        <v>1</v>
      </c>
      <c r="D132" s="18">
        <v>59</v>
      </c>
      <c r="E132" s="20" t="s">
        <v>10100</v>
      </c>
      <c r="F132" s="17" t="s">
        <v>85</v>
      </c>
      <c r="G132" s="19" t="s">
        <v>139</v>
      </c>
      <c r="H132" s="18">
        <v>9.6666666666666661</v>
      </c>
      <c r="I132" s="17" t="s">
        <v>550</v>
      </c>
      <c r="J132" s="17" t="s">
        <v>4961</v>
      </c>
      <c r="K132" s="17"/>
      <c r="L132" s="17"/>
      <c r="M132" s="16" t="str">
        <f>HYPERLINK("http://slimages.macys.com/is/image/MCY/19063901 ")</f>
        <v xml:space="preserve">http://slimages.macys.com/is/image/MCY/19063901 </v>
      </c>
      <c r="N132" s="30"/>
    </row>
    <row r="133" spans="1:14" ht="60" x14ac:dyDescent="0.25">
      <c r="A133" s="19" t="s">
        <v>10099</v>
      </c>
      <c r="B133" s="17" t="s">
        <v>10098</v>
      </c>
      <c r="C133" s="20">
        <v>1</v>
      </c>
      <c r="D133" s="18">
        <v>59</v>
      </c>
      <c r="E133" s="20">
        <v>2360304</v>
      </c>
      <c r="F133" s="17" t="s">
        <v>63</v>
      </c>
      <c r="G133" s="19" t="s">
        <v>96</v>
      </c>
      <c r="H133" s="18">
        <v>9.6666666666666661</v>
      </c>
      <c r="I133" s="17" t="s">
        <v>80</v>
      </c>
      <c r="J133" s="17" t="s">
        <v>293</v>
      </c>
      <c r="K133" s="17"/>
      <c r="L133" s="17"/>
      <c r="M133" s="16" t="str">
        <f>HYPERLINK("http://slimages.macys.com/is/image/MCY/19376602 ")</f>
        <v xml:space="preserve">http://slimages.macys.com/is/image/MCY/19376602 </v>
      </c>
      <c r="N133" s="30"/>
    </row>
    <row r="134" spans="1:14" ht="60" x14ac:dyDescent="0.25">
      <c r="A134" s="19" t="s">
        <v>10097</v>
      </c>
      <c r="B134" s="17" t="s">
        <v>10096</v>
      </c>
      <c r="C134" s="20">
        <v>1</v>
      </c>
      <c r="D134" s="18">
        <v>59</v>
      </c>
      <c r="E134" s="20">
        <v>2350303</v>
      </c>
      <c r="F134" s="17" t="s">
        <v>764</v>
      </c>
      <c r="G134" s="19" t="s">
        <v>682</v>
      </c>
      <c r="H134" s="18">
        <v>9.26</v>
      </c>
      <c r="I134" s="17" t="s">
        <v>80</v>
      </c>
      <c r="J134" s="17" t="s">
        <v>293</v>
      </c>
      <c r="K134" s="17"/>
      <c r="L134" s="17"/>
      <c r="M134" s="16" t="str">
        <f>HYPERLINK("http://slimages.macys.com/is/image/MCY/18148542 ")</f>
        <v xml:space="preserve">http://slimages.macys.com/is/image/MCY/18148542 </v>
      </c>
      <c r="N134" s="30"/>
    </row>
    <row r="135" spans="1:14" ht="60" x14ac:dyDescent="0.25">
      <c r="A135" s="19" t="s">
        <v>10095</v>
      </c>
      <c r="B135" s="17" t="s">
        <v>10094</v>
      </c>
      <c r="C135" s="20">
        <v>1</v>
      </c>
      <c r="D135" s="18">
        <v>49</v>
      </c>
      <c r="E135" s="20" t="s">
        <v>9271</v>
      </c>
      <c r="F135" s="17" t="s">
        <v>23</v>
      </c>
      <c r="G135" s="19" t="s">
        <v>197</v>
      </c>
      <c r="H135" s="18">
        <v>9.0466666666666669</v>
      </c>
      <c r="I135" s="17" t="s">
        <v>405</v>
      </c>
      <c r="J135" s="17" t="s">
        <v>404</v>
      </c>
      <c r="K135" s="17" t="s">
        <v>389</v>
      </c>
      <c r="L135" s="17" t="s">
        <v>388</v>
      </c>
      <c r="M135" s="16" t="str">
        <f>HYPERLINK("http://slimages.macys.com/is/image/MCY/16013569 ")</f>
        <v xml:space="preserve">http://slimages.macys.com/is/image/MCY/16013569 </v>
      </c>
      <c r="N135" s="30"/>
    </row>
    <row r="136" spans="1:14" ht="60" x14ac:dyDescent="0.25">
      <c r="A136" s="19" t="s">
        <v>10093</v>
      </c>
      <c r="B136" s="17" t="s">
        <v>10092</v>
      </c>
      <c r="C136" s="20">
        <v>1</v>
      </c>
      <c r="D136" s="18">
        <v>49</v>
      </c>
      <c r="E136" s="20" t="s">
        <v>10091</v>
      </c>
      <c r="F136" s="17" t="s">
        <v>51</v>
      </c>
      <c r="G136" s="19" t="s">
        <v>74</v>
      </c>
      <c r="H136" s="18">
        <v>9.0466666666666669</v>
      </c>
      <c r="I136" s="17" t="s">
        <v>405</v>
      </c>
      <c r="J136" s="17" t="s">
        <v>404</v>
      </c>
      <c r="K136" s="17"/>
      <c r="L136" s="17"/>
      <c r="M136" s="16" t="str">
        <f>HYPERLINK("http://slimages.macys.com/is/image/MCY/17840051 ")</f>
        <v xml:space="preserve">http://slimages.macys.com/is/image/MCY/17840051 </v>
      </c>
      <c r="N136" s="30"/>
    </row>
    <row r="137" spans="1:14" ht="60" x14ac:dyDescent="0.25">
      <c r="A137" s="19" t="s">
        <v>10090</v>
      </c>
      <c r="B137" s="17" t="s">
        <v>10089</v>
      </c>
      <c r="C137" s="20">
        <v>1</v>
      </c>
      <c r="D137" s="18">
        <v>49</v>
      </c>
      <c r="E137" s="20" t="s">
        <v>10088</v>
      </c>
      <c r="F137" s="17" t="s">
        <v>881</v>
      </c>
      <c r="G137" s="19" t="s">
        <v>197</v>
      </c>
      <c r="H137" s="18">
        <v>9.0466666666666669</v>
      </c>
      <c r="I137" s="17" t="s">
        <v>405</v>
      </c>
      <c r="J137" s="17" t="s">
        <v>404</v>
      </c>
      <c r="K137" s="17"/>
      <c r="L137" s="17"/>
      <c r="M137" s="16" t="str">
        <f>HYPERLINK("http://slimages.macys.com/is/image/MCY/17417639 ")</f>
        <v xml:space="preserve">http://slimages.macys.com/is/image/MCY/17417639 </v>
      </c>
      <c r="N137" s="30"/>
    </row>
    <row r="138" spans="1:14" ht="60" x14ac:dyDescent="0.25">
      <c r="A138" s="19" t="s">
        <v>10087</v>
      </c>
      <c r="B138" s="17" t="s">
        <v>10086</v>
      </c>
      <c r="C138" s="20">
        <v>1</v>
      </c>
      <c r="D138" s="18">
        <v>34.299999999999997</v>
      </c>
      <c r="E138" s="20" t="s">
        <v>6355</v>
      </c>
      <c r="F138" s="17" t="s">
        <v>149</v>
      </c>
      <c r="G138" s="19" t="s">
        <v>197</v>
      </c>
      <c r="H138" s="18">
        <v>8.9466666666666672</v>
      </c>
      <c r="I138" s="17" t="s">
        <v>42</v>
      </c>
      <c r="J138" s="17" t="s">
        <v>41</v>
      </c>
      <c r="K138" s="17"/>
      <c r="L138" s="17"/>
      <c r="M138" s="16" t="str">
        <f>HYPERLINK("http://slimages.macys.com/is/image/MCY/18916978 ")</f>
        <v xml:space="preserve">http://slimages.macys.com/is/image/MCY/18916978 </v>
      </c>
      <c r="N138" s="30"/>
    </row>
    <row r="139" spans="1:14" ht="60" x14ac:dyDescent="0.25">
      <c r="A139" s="19" t="s">
        <v>10085</v>
      </c>
      <c r="B139" s="17" t="s">
        <v>10084</v>
      </c>
      <c r="C139" s="20">
        <v>1</v>
      </c>
      <c r="D139" s="18">
        <v>48</v>
      </c>
      <c r="E139" s="20">
        <v>30139412</v>
      </c>
      <c r="F139" s="17" t="s">
        <v>623</v>
      </c>
      <c r="G139" s="19" t="s">
        <v>658</v>
      </c>
      <c r="H139" s="18">
        <v>8</v>
      </c>
      <c r="I139" s="17" t="s">
        <v>1777</v>
      </c>
      <c r="J139" s="17" t="s">
        <v>1776</v>
      </c>
      <c r="K139" s="17"/>
      <c r="L139" s="17"/>
      <c r="M139" s="16" t="str">
        <f>HYPERLINK("http://slimages.macys.com/is/image/MCY/18504397 ")</f>
        <v xml:space="preserve">http://slimages.macys.com/is/image/MCY/18504397 </v>
      </c>
      <c r="N139" s="30"/>
    </row>
    <row r="140" spans="1:14" ht="60" x14ac:dyDescent="0.25">
      <c r="A140" s="19" t="s">
        <v>10083</v>
      </c>
      <c r="B140" s="17" t="s">
        <v>10082</v>
      </c>
      <c r="C140" s="20">
        <v>1</v>
      </c>
      <c r="D140" s="18">
        <v>79</v>
      </c>
      <c r="E140" s="20">
        <v>2360212</v>
      </c>
      <c r="F140" s="17" t="s">
        <v>28</v>
      </c>
      <c r="G140" s="19" t="s">
        <v>50</v>
      </c>
      <c r="H140" s="18">
        <v>8</v>
      </c>
      <c r="I140" s="17" t="s">
        <v>80</v>
      </c>
      <c r="J140" s="17" t="s">
        <v>293</v>
      </c>
      <c r="K140" s="17"/>
      <c r="L140" s="17"/>
      <c r="M140" s="16" t="str">
        <f>HYPERLINK("http://slimages.macys.com/is/image/MCY/18403229 ")</f>
        <v xml:space="preserve">http://slimages.macys.com/is/image/MCY/18403229 </v>
      </c>
      <c r="N140" s="30"/>
    </row>
    <row r="141" spans="1:14" ht="60" x14ac:dyDescent="0.25">
      <c r="A141" s="19" t="s">
        <v>10081</v>
      </c>
      <c r="B141" s="17" t="s">
        <v>10080</v>
      </c>
      <c r="C141" s="20">
        <v>1</v>
      </c>
      <c r="D141" s="18">
        <v>48</v>
      </c>
      <c r="E141" s="20">
        <v>30139413</v>
      </c>
      <c r="F141" s="17" t="s">
        <v>28</v>
      </c>
      <c r="G141" s="19" t="s">
        <v>857</v>
      </c>
      <c r="H141" s="18">
        <v>8</v>
      </c>
      <c r="I141" s="17" t="s">
        <v>1777</v>
      </c>
      <c r="J141" s="17" t="s">
        <v>1776</v>
      </c>
      <c r="K141" s="17"/>
      <c r="L141" s="17"/>
      <c r="M141" s="16" t="str">
        <f>HYPERLINK("http://slimages.macys.com/is/image/MCY/18504397 ")</f>
        <v xml:space="preserve">http://slimages.macys.com/is/image/MCY/18504397 </v>
      </c>
      <c r="N141" s="30"/>
    </row>
    <row r="142" spans="1:14" ht="60" x14ac:dyDescent="0.25">
      <c r="A142" s="19" t="s">
        <v>4225</v>
      </c>
      <c r="B142" s="17" t="s">
        <v>4224</v>
      </c>
      <c r="C142" s="20">
        <v>1</v>
      </c>
      <c r="D142" s="18">
        <v>46</v>
      </c>
      <c r="E142" s="20">
        <v>30139505</v>
      </c>
      <c r="F142" s="17" t="s">
        <v>282</v>
      </c>
      <c r="G142" s="19" t="s">
        <v>698</v>
      </c>
      <c r="H142" s="18">
        <v>7.6666666666666661</v>
      </c>
      <c r="I142" s="17" t="s">
        <v>1777</v>
      </c>
      <c r="J142" s="17" t="s">
        <v>1776</v>
      </c>
      <c r="K142" s="17"/>
      <c r="L142" s="17"/>
      <c r="M142" s="16" t="str">
        <f>HYPERLINK("http://slimages.macys.com/is/image/MCY/18284945 ")</f>
        <v xml:space="preserve">http://slimages.macys.com/is/image/MCY/18284945 </v>
      </c>
      <c r="N142" s="30"/>
    </row>
    <row r="143" spans="1:14" ht="60" x14ac:dyDescent="0.25">
      <c r="A143" s="19" t="s">
        <v>10079</v>
      </c>
      <c r="B143" s="17" t="s">
        <v>10078</v>
      </c>
      <c r="C143" s="20">
        <v>1</v>
      </c>
      <c r="D143" s="18">
        <v>49</v>
      </c>
      <c r="E143" s="20">
        <v>2331301</v>
      </c>
      <c r="F143" s="17" t="s">
        <v>28</v>
      </c>
      <c r="G143" s="19" t="s">
        <v>50</v>
      </c>
      <c r="H143" s="18">
        <v>7.5</v>
      </c>
      <c r="I143" s="17" t="s">
        <v>80</v>
      </c>
      <c r="J143" s="17" t="s">
        <v>293</v>
      </c>
      <c r="K143" s="17"/>
      <c r="L143" s="17"/>
      <c r="M143" s="16" t="str">
        <f>HYPERLINK("http://slimages.macys.com/is/image/MCY/19223516 ")</f>
        <v xml:space="preserve">http://slimages.macys.com/is/image/MCY/19223516 </v>
      </c>
      <c r="N143" s="30"/>
    </row>
    <row r="144" spans="1:14" ht="60" x14ac:dyDescent="0.25">
      <c r="A144" s="19" t="s">
        <v>10077</v>
      </c>
      <c r="B144" s="17" t="s">
        <v>10076</v>
      </c>
      <c r="C144" s="20">
        <v>1</v>
      </c>
      <c r="D144" s="18">
        <v>39.5</v>
      </c>
      <c r="E144" s="20" t="s">
        <v>1731</v>
      </c>
      <c r="F144" s="17" t="s">
        <v>58</v>
      </c>
      <c r="G144" s="19" t="s">
        <v>197</v>
      </c>
      <c r="H144" s="18">
        <v>7.4400000000000013</v>
      </c>
      <c r="I144" s="17" t="s">
        <v>56</v>
      </c>
      <c r="J144" s="17" t="s">
        <v>55</v>
      </c>
      <c r="K144" s="17"/>
      <c r="L144" s="17"/>
      <c r="M144" s="16" t="str">
        <f>HYPERLINK("http://slimages.macys.com/is/image/MCY/18372028 ")</f>
        <v xml:space="preserve">http://slimages.macys.com/is/image/MCY/18372028 </v>
      </c>
      <c r="N144" s="30"/>
    </row>
    <row r="145" spans="1:14" ht="60" x14ac:dyDescent="0.25">
      <c r="A145" s="19" t="s">
        <v>10075</v>
      </c>
      <c r="B145" s="17" t="s">
        <v>10074</v>
      </c>
      <c r="C145" s="20">
        <v>1</v>
      </c>
      <c r="D145" s="18">
        <v>39.5</v>
      </c>
      <c r="E145" s="20" t="s">
        <v>10012</v>
      </c>
      <c r="F145" s="17" t="s">
        <v>63</v>
      </c>
      <c r="G145" s="19" t="s">
        <v>69</v>
      </c>
      <c r="H145" s="18">
        <v>7.4400000000000013</v>
      </c>
      <c r="I145" s="17" t="s">
        <v>68</v>
      </c>
      <c r="J145" s="17" t="s">
        <v>67</v>
      </c>
      <c r="K145" s="17"/>
      <c r="L145" s="17"/>
      <c r="M145" s="16" t="str">
        <f>HYPERLINK("http://slimages.macys.com/is/image/MCY/18864570 ")</f>
        <v xml:space="preserve">http://slimages.macys.com/is/image/MCY/18864570 </v>
      </c>
      <c r="N145" s="30"/>
    </row>
    <row r="146" spans="1:14" ht="60" x14ac:dyDescent="0.25">
      <c r="A146" s="19" t="s">
        <v>10073</v>
      </c>
      <c r="B146" s="17" t="s">
        <v>10072</v>
      </c>
      <c r="C146" s="20">
        <v>1</v>
      </c>
      <c r="D146" s="18">
        <v>39.5</v>
      </c>
      <c r="E146" s="20" t="s">
        <v>1731</v>
      </c>
      <c r="F146" s="17" t="s">
        <v>23</v>
      </c>
      <c r="G146" s="19" t="s">
        <v>197</v>
      </c>
      <c r="H146" s="18">
        <v>7.4400000000000013</v>
      </c>
      <c r="I146" s="17" t="s">
        <v>56</v>
      </c>
      <c r="J146" s="17" t="s">
        <v>55</v>
      </c>
      <c r="K146" s="17"/>
      <c r="L146" s="17"/>
      <c r="M146" s="16" t="str">
        <f>HYPERLINK("http://slimages.macys.com/is/image/MCY/18372028 ")</f>
        <v xml:space="preserve">http://slimages.macys.com/is/image/MCY/18372028 </v>
      </c>
      <c r="N146" s="30"/>
    </row>
    <row r="147" spans="1:14" ht="60" x14ac:dyDescent="0.25">
      <c r="A147" s="19" t="s">
        <v>1012</v>
      </c>
      <c r="B147" s="17" t="s">
        <v>1011</v>
      </c>
      <c r="C147" s="20">
        <v>1</v>
      </c>
      <c r="D147" s="18">
        <v>39.5</v>
      </c>
      <c r="E147" s="20" t="s">
        <v>213</v>
      </c>
      <c r="F147" s="17" t="s">
        <v>23</v>
      </c>
      <c r="G147" s="19" t="s">
        <v>197</v>
      </c>
      <c r="H147" s="18">
        <v>7.4400000000000013</v>
      </c>
      <c r="I147" s="17" t="s">
        <v>56</v>
      </c>
      <c r="J147" s="17" t="s">
        <v>55</v>
      </c>
      <c r="K147" s="17"/>
      <c r="L147" s="17"/>
      <c r="M147" s="16" t="str">
        <f>HYPERLINK("http://slimages.macys.com/is/image/MCY/19179536 ")</f>
        <v xml:space="preserve">http://slimages.macys.com/is/image/MCY/19179536 </v>
      </c>
      <c r="N147" s="30"/>
    </row>
    <row r="148" spans="1:14" ht="60" x14ac:dyDescent="0.25">
      <c r="A148" s="19" t="s">
        <v>10071</v>
      </c>
      <c r="B148" s="17" t="s">
        <v>10070</v>
      </c>
      <c r="C148" s="20">
        <v>1</v>
      </c>
      <c r="D148" s="18">
        <v>49</v>
      </c>
      <c r="E148" s="20" t="s">
        <v>10069</v>
      </c>
      <c r="F148" s="17" t="s">
        <v>51</v>
      </c>
      <c r="G148" s="19" t="s">
        <v>69</v>
      </c>
      <c r="H148" s="18">
        <v>7.42</v>
      </c>
      <c r="I148" s="17" t="s">
        <v>4609</v>
      </c>
      <c r="J148" s="17" t="s">
        <v>4608</v>
      </c>
      <c r="K148" s="17"/>
      <c r="L148" s="17"/>
      <c r="M148" s="16" t="str">
        <f>HYPERLINK("http://slimages.macys.com/is/image/MCY/17349897 ")</f>
        <v xml:space="preserve">http://slimages.macys.com/is/image/MCY/17349897 </v>
      </c>
      <c r="N148" s="30"/>
    </row>
    <row r="149" spans="1:14" ht="60" x14ac:dyDescent="0.25">
      <c r="A149" s="19" t="s">
        <v>8030</v>
      </c>
      <c r="B149" s="17" t="s">
        <v>8029</v>
      </c>
      <c r="C149" s="20">
        <v>1</v>
      </c>
      <c r="D149" s="18">
        <v>49</v>
      </c>
      <c r="E149" s="20">
        <v>2321617</v>
      </c>
      <c r="F149" s="17" t="s">
        <v>70</v>
      </c>
      <c r="G149" s="19" t="s">
        <v>50</v>
      </c>
      <c r="H149" s="18">
        <v>7.3333333333333339</v>
      </c>
      <c r="I149" s="17" t="s">
        <v>80</v>
      </c>
      <c r="J149" s="17" t="s">
        <v>293</v>
      </c>
      <c r="K149" s="17"/>
      <c r="L149" s="17"/>
      <c r="M149" s="16" t="str">
        <f>HYPERLINK("http://slimages.macys.com/is/image/MCY/18749021 ")</f>
        <v xml:space="preserve">http://slimages.macys.com/is/image/MCY/18749021 </v>
      </c>
      <c r="N149" s="30"/>
    </row>
    <row r="150" spans="1:14" ht="60" x14ac:dyDescent="0.25">
      <c r="A150" s="19" t="s">
        <v>10068</v>
      </c>
      <c r="B150" s="17" t="s">
        <v>10067</v>
      </c>
      <c r="C150" s="20">
        <v>1</v>
      </c>
      <c r="D150" s="18">
        <v>34</v>
      </c>
      <c r="E150" s="20" t="s">
        <v>10066</v>
      </c>
      <c r="F150" s="17" t="s">
        <v>23</v>
      </c>
      <c r="G150" s="19" t="s">
        <v>62</v>
      </c>
      <c r="H150" s="18">
        <v>7.26</v>
      </c>
      <c r="I150" s="17" t="s">
        <v>49</v>
      </c>
      <c r="J150" s="17" t="s">
        <v>48</v>
      </c>
      <c r="K150" s="17" t="s">
        <v>389</v>
      </c>
      <c r="L150" s="17" t="s">
        <v>10065</v>
      </c>
      <c r="M150" s="16" t="str">
        <f>HYPERLINK("http://slimages.macys.com/is/image/MCY/9276600 ")</f>
        <v xml:space="preserve">http://slimages.macys.com/is/image/MCY/9276600 </v>
      </c>
      <c r="N150" s="30"/>
    </row>
    <row r="151" spans="1:14" ht="60" x14ac:dyDescent="0.25">
      <c r="A151" s="19" t="s">
        <v>10064</v>
      </c>
      <c r="B151" s="17" t="s">
        <v>10063</v>
      </c>
      <c r="C151" s="20">
        <v>1</v>
      </c>
      <c r="D151" s="18">
        <v>25</v>
      </c>
      <c r="E151" s="20" t="s">
        <v>10062</v>
      </c>
      <c r="F151" s="17" t="s">
        <v>164</v>
      </c>
      <c r="G151" s="19" t="s">
        <v>101</v>
      </c>
      <c r="H151" s="18">
        <v>6.6533333333333333</v>
      </c>
      <c r="I151" s="17" t="s">
        <v>16</v>
      </c>
      <c r="J151" s="17" t="s">
        <v>15</v>
      </c>
      <c r="K151" s="17" t="s">
        <v>389</v>
      </c>
      <c r="L151" s="17" t="s">
        <v>3658</v>
      </c>
      <c r="M151" s="16" t="str">
        <f>HYPERLINK("http://slimages.macys.com/is/image/MCY/13683031 ")</f>
        <v xml:space="preserve">http://slimages.macys.com/is/image/MCY/13683031 </v>
      </c>
      <c r="N151" s="30"/>
    </row>
    <row r="152" spans="1:14" ht="60" x14ac:dyDescent="0.25">
      <c r="A152" s="19" t="s">
        <v>8007</v>
      </c>
      <c r="B152" s="17" t="s">
        <v>8006</v>
      </c>
      <c r="C152" s="20">
        <v>1</v>
      </c>
      <c r="D152" s="18">
        <v>34</v>
      </c>
      <c r="E152" s="20" t="s">
        <v>3249</v>
      </c>
      <c r="F152" s="17" t="s">
        <v>345</v>
      </c>
      <c r="G152" s="19" t="s">
        <v>69</v>
      </c>
      <c r="H152" s="18">
        <v>5.0666666666666673</v>
      </c>
      <c r="I152" s="17" t="s">
        <v>1700</v>
      </c>
      <c r="J152" s="17" t="s">
        <v>1699</v>
      </c>
      <c r="K152" s="17"/>
      <c r="L152" s="17"/>
      <c r="M152" s="16" t="str">
        <f>HYPERLINK("http://slimages.macys.com/is/image/MCY/18944604 ")</f>
        <v xml:space="preserve">http://slimages.macys.com/is/image/MCY/18944604 </v>
      </c>
      <c r="N152" s="30"/>
    </row>
    <row r="153" spans="1:14" ht="48" x14ac:dyDescent="0.25">
      <c r="A153" s="19" t="s">
        <v>10061</v>
      </c>
      <c r="B153" s="17" t="s">
        <v>10060</v>
      </c>
      <c r="C153" s="20">
        <v>1</v>
      </c>
      <c r="D153" s="18">
        <v>129</v>
      </c>
      <c r="E153" s="20">
        <v>10760080</v>
      </c>
      <c r="F153" s="17" t="s">
        <v>23</v>
      </c>
      <c r="G153" s="19" t="s">
        <v>57</v>
      </c>
      <c r="H153" s="18">
        <v>24.94</v>
      </c>
      <c r="I153" s="17" t="s">
        <v>120</v>
      </c>
      <c r="J153" s="17" t="s">
        <v>119</v>
      </c>
      <c r="K153" s="17"/>
      <c r="L153" s="17"/>
      <c r="M153" s="16"/>
      <c r="N153" s="30"/>
    </row>
    <row r="154" spans="1:14" x14ac:dyDescent="0.25">
      <c r="A154" s="19" t="s">
        <v>10059</v>
      </c>
      <c r="B154" s="17" t="s">
        <v>10058</v>
      </c>
      <c r="C154" s="20">
        <v>1</v>
      </c>
      <c r="D154" s="18">
        <v>108</v>
      </c>
      <c r="E154" s="20" t="s">
        <v>10057</v>
      </c>
      <c r="F154" s="17" t="s">
        <v>51</v>
      </c>
      <c r="G154" s="19" t="s">
        <v>101</v>
      </c>
      <c r="H154" s="18">
        <v>23.053333333333335</v>
      </c>
      <c r="I154" s="17" t="s">
        <v>49</v>
      </c>
      <c r="J154" s="17" t="s">
        <v>48</v>
      </c>
      <c r="K154" s="17"/>
      <c r="L154" s="17"/>
      <c r="M154" s="16"/>
      <c r="N154" s="30"/>
    </row>
    <row r="155" spans="1:14" x14ac:dyDescent="0.25">
      <c r="A155" s="19" t="s">
        <v>10056</v>
      </c>
      <c r="B155" s="17" t="s">
        <v>10055</v>
      </c>
      <c r="C155" s="20">
        <v>1</v>
      </c>
      <c r="D155" s="18">
        <v>89</v>
      </c>
      <c r="E155" s="20" t="s">
        <v>8672</v>
      </c>
      <c r="F155" s="17" t="s">
        <v>58</v>
      </c>
      <c r="G155" s="19" t="s">
        <v>22</v>
      </c>
      <c r="H155" s="18">
        <v>18.993333333333336</v>
      </c>
      <c r="I155" s="17" t="s">
        <v>49</v>
      </c>
      <c r="J155" s="17" t="s">
        <v>48</v>
      </c>
      <c r="K155" s="17"/>
      <c r="L155" s="17"/>
      <c r="M155" s="16"/>
      <c r="N155" s="30"/>
    </row>
    <row r="156" spans="1:14" ht="24" x14ac:dyDescent="0.25">
      <c r="A156" s="19" t="s">
        <v>10054</v>
      </c>
      <c r="B156" s="17" t="s">
        <v>10053</v>
      </c>
      <c r="C156" s="20">
        <v>1</v>
      </c>
      <c r="D156" s="18">
        <v>89</v>
      </c>
      <c r="E156" s="20">
        <v>10745188</v>
      </c>
      <c r="F156" s="17" t="s">
        <v>23</v>
      </c>
      <c r="G156" s="19" t="s">
        <v>898</v>
      </c>
      <c r="H156" s="18">
        <v>18.393333333333334</v>
      </c>
      <c r="I156" s="17" t="s">
        <v>144</v>
      </c>
      <c r="J156" s="17" t="s">
        <v>143</v>
      </c>
      <c r="K156" s="17"/>
      <c r="L156" s="17"/>
      <c r="M156" s="16"/>
      <c r="N156" s="30"/>
    </row>
    <row r="157" spans="1:14" ht="36" x14ac:dyDescent="0.25">
      <c r="A157" s="19" t="s">
        <v>10052</v>
      </c>
      <c r="B157" s="17" t="s">
        <v>10051</v>
      </c>
      <c r="C157" s="20">
        <v>1</v>
      </c>
      <c r="D157" s="18">
        <v>109</v>
      </c>
      <c r="E157" s="20">
        <v>7030919</v>
      </c>
      <c r="F157" s="17" t="s">
        <v>91</v>
      </c>
      <c r="G157" s="19" t="s">
        <v>857</v>
      </c>
      <c r="H157" s="18">
        <v>18.166666666666668</v>
      </c>
      <c r="I157" s="17" t="s">
        <v>111</v>
      </c>
      <c r="J157" s="17" t="s">
        <v>110</v>
      </c>
      <c r="K157" s="17"/>
      <c r="L157" s="17"/>
      <c r="M157" s="16"/>
      <c r="N157" s="30"/>
    </row>
    <row r="158" spans="1:14" ht="48" x14ac:dyDescent="0.25">
      <c r="A158" s="19" t="s">
        <v>10050</v>
      </c>
      <c r="B158" s="17" t="s">
        <v>10049</v>
      </c>
      <c r="C158" s="20">
        <v>2</v>
      </c>
      <c r="D158" s="18">
        <v>89</v>
      </c>
      <c r="E158" s="20" t="s">
        <v>8610</v>
      </c>
      <c r="F158" s="17" t="s">
        <v>91</v>
      </c>
      <c r="G158" s="19" t="s">
        <v>96</v>
      </c>
      <c r="H158" s="18">
        <v>17.8</v>
      </c>
      <c r="I158" s="17" t="s">
        <v>144</v>
      </c>
      <c r="J158" s="17" t="s">
        <v>496</v>
      </c>
      <c r="K158" s="17"/>
      <c r="L158" s="17"/>
      <c r="M158" s="16"/>
      <c r="N158" s="30"/>
    </row>
    <row r="159" spans="1:14" ht="48" x14ac:dyDescent="0.25">
      <c r="A159" s="19" t="s">
        <v>10048</v>
      </c>
      <c r="B159" s="17" t="s">
        <v>10047</v>
      </c>
      <c r="C159" s="20">
        <v>1</v>
      </c>
      <c r="D159" s="18">
        <v>69</v>
      </c>
      <c r="E159" s="20" t="s">
        <v>9695</v>
      </c>
      <c r="F159" s="17" t="s">
        <v>508</v>
      </c>
      <c r="G159" s="19" t="s">
        <v>898</v>
      </c>
      <c r="H159" s="18">
        <v>16.853333333333335</v>
      </c>
      <c r="I159" s="17" t="s">
        <v>1363</v>
      </c>
      <c r="J159" s="17" t="s">
        <v>1362</v>
      </c>
      <c r="K159" s="17"/>
      <c r="L159" s="17"/>
      <c r="M159" s="16"/>
      <c r="N159" s="30"/>
    </row>
    <row r="160" spans="1:14" x14ac:dyDescent="0.25">
      <c r="A160" s="19" t="s">
        <v>10046</v>
      </c>
      <c r="B160" s="17" t="s">
        <v>10045</v>
      </c>
      <c r="C160" s="20">
        <v>1</v>
      </c>
      <c r="D160" s="18">
        <v>69</v>
      </c>
      <c r="E160" s="20" t="s">
        <v>1974</v>
      </c>
      <c r="F160" s="17" t="s">
        <v>345</v>
      </c>
      <c r="G160" s="19" t="s">
        <v>22</v>
      </c>
      <c r="H160" s="18">
        <v>15.226666666666667</v>
      </c>
      <c r="I160" s="17" t="s">
        <v>49</v>
      </c>
      <c r="J160" s="17" t="s">
        <v>48</v>
      </c>
      <c r="K160" s="17"/>
      <c r="L160" s="17"/>
      <c r="M160" s="16"/>
      <c r="N160" s="30"/>
    </row>
    <row r="161" spans="1:14" ht="48" x14ac:dyDescent="0.25">
      <c r="A161" s="19" t="s">
        <v>10044</v>
      </c>
      <c r="B161" s="17" t="s">
        <v>10043</v>
      </c>
      <c r="C161" s="20">
        <v>1</v>
      </c>
      <c r="D161" s="18">
        <v>89.5</v>
      </c>
      <c r="E161" s="20" t="s">
        <v>10042</v>
      </c>
      <c r="F161" s="17" t="s">
        <v>578</v>
      </c>
      <c r="G161" s="19" t="s">
        <v>658</v>
      </c>
      <c r="H161" s="18">
        <v>14.720000000000002</v>
      </c>
      <c r="I161" s="17" t="s">
        <v>68</v>
      </c>
      <c r="J161" s="17" t="s">
        <v>67</v>
      </c>
      <c r="K161" s="17"/>
      <c r="L161" s="17"/>
      <c r="M161" s="16"/>
      <c r="N161" s="30"/>
    </row>
    <row r="162" spans="1:14" ht="60" x14ac:dyDescent="0.25">
      <c r="A162" s="19" t="s">
        <v>10041</v>
      </c>
      <c r="B162" s="17" t="s">
        <v>10040</v>
      </c>
      <c r="C162" s="20">
        <v>1</v>
      </c>
      <c r="D162" s="18">
        <v>69.5</v>
      </c>
      <c r="E162" s="20" t="s">
        <v>10039</v>
      </c>
      <c r="F162" s="17" t="s">
        <v>726</v>
      </c>
      <c r="G162" s="19" t="s">
        <v>74</v>
      </c>
      <c r="H162" s="18">
        <v>14.000000000000002</v>
      </c>
      <c r="I162" s="17" t="s">
        <v>106</v>
      </c>
      <c r="J162" s="17" t="s">
        <v>105</v>
      </c>
      <c r="K162" s="17"/>
      <c r="L162" s="17"/>
      <c r="M162" s="16"/>
      <c r="N162" s="30"/>
    </row>
    <row r="163" spans="1:14" ht="60" x14ac:dyDescent="0.25">
      <c r="A163" s="19" t="s">
        <v>10038</v>
      </c>
      <c r="B163" s="17" t="s">
        <v>10037</v>
      </c>
      <c r="C163" s="20">
        <v>1</v>
      </c>
      <c r="D163" s="18">
        <v>69.5</v>
      </c>
      <c r="E163" s="20" t="s">
        <v>9583</v>
      </c>
      <c r="F163" s="17" t="s">
        <v>51</v>
      </c>
      <c r="G163" s="19" t="s">
        <v>74</v>
      </c>
      <c r="H163" s="18">
        <v>14.000000000000002</v>
      </c>
      <c r="I163" s="17" t="s">
        <v>106</v>
      </c>
      <c r="J163" s="17" t="s">
        <v>105</v>
      </c>
      <c r="K163" s="17"/>
      <c r="L163" s="17"/>
      <c r="M163" s="16"/>
      <c r="N163" s="30"/>
    </row>
    <row r="164" spans="1:14" ht="48" x14ac:dyDescent="0.25">
      <c r="A164" s="19" t="s">
        <v>10036</v>
      </c>
      <c r="B164" s="17" t="s">
        <v>10035</v>
      </c>
      <c r="C164" s="20">
        <v>1</v>
      </c>
      <c r="D164" s="18">
        <v>89</v>
      </c>
      <c r="E164" s="20">
        <v>2321710</v>
      </c>
      <c r="F164" s="17" t="s">
        <v>28</v>
      </c>
      <c r="G164" s="19" t="s">
        <v>50</v>
      </c>
      <c r="H164" s="18">
        <v>13.666666666666666</v>
      </c>
      <c r="I164" s="17" t="s">
        <v>80</v>
      </c>
      <c r="J164" s="17" t="s">
        <v>293</v>
      </c>
      <c r="K164" s="17"/>
      <c r="L164" s="17"/>
      <c r="M164" s="16"/>
      <c r="N164" s="30"/>
    </row>
    <row r="165" spans="1:14" ht="48" x14ac:dyDescent="0.25">
      <c r="A165" s="19" t="s">
        <v>10034</v>
      </c>
      <c r="B165" s="17" t="s">
        <v>10033</v>
      </c>
      <c r="C165" s="20">
        <v>1</v>
      </c>
      <c r="D165" s="18">
        <v>69</v>
      </c>
      <c r="E165" s="20" t="s">
        <v>10032</v>
      </c>
      <c r="F165" s="17" t="s">
        <v>1408</v>
      </c>
      <c r="G165" s="19" t="s">
        <v>74</v>
      </c>
      <c r="H165" s="18">
        <v>13.526666666666667</v>
      </c>
      <c r="I165" s="17" t="s">
        <v>492</v>
      </c>
      <c r="J165" s="17" t="s">
        <v>491</v>
      </c>
      <c r="K165" s="17"/>
      <c r="L165" s="17"/>
      <c r="M165" s="16"/>
      <c r="N165" s="30"/>
    </row>
    <row r="166" spans="1:14" ht="48" x14ac:dyDescent="0.25">
      <c r="A166" s="19" t="s">
        <v>10031</v>
      </c>
      <c r="B166" s="17" t="s">
        <v>10030</v>
      </c>
      <c r="C166" s="20">
        <v>1</v>
      </c>
      <c r="D166" s="18">
        <v>69.5</v>
      </c>
      <c r="E166" s="20" t="s">
        <v>10029</v>
      </c>
      <c r="F166" s="17" t="s">
        <v>23</v>
      </c>
      <c r="G166" s="19" t="s">
        <v>139</v>
      </c>
      <c r="H166" s="18">
        <v>12.74</v>
      </c>
      <c r="I166" s="17" t="s">
        <v>267</v>
      </c>
      <c r="J166" s="17" t="s">
        <v>32</v>
      </c>
      <c r="K166" s="17"/>
      <c r="L166" s="17"/>
      <c r="M166" s="16"/>
      <c r="N166" s="30"/>
    </row>
    <row r="167" spans="1:14" ht="48" x14ac:dyDescent="0.25">
      <c r="A167" s="19" t="s">
        <v>10028</v>
      </c>
      <c r="B167" s="17" t="s">
        <v>10027</v>
      </c>
      <c r="C167" s="20">
        <v>1</v>
      </c>
      <c r="D167" s="18">
        <v>69</v>
      </c>
      <c r="E167" s="20">
        <v>2321805</v>
      </c>
      <c r="F167" s="17" t="s">
        <v>23</v>
      </c>
      <c r="G167" s="19" t="s">
        <v>101</v>
      </c>
      <c r="H167" s="18">
        <v>12</v>
      </c>
      <c r="I167" s="17" t="s">
        <v>80</v>
      </c>
      <c r="J167" s="17" t="s">
        <v>293</v>
      </c>
      <c r="K167" s="17"/>
      <c r="L167" s="17"/>
      <c r="M167" s="16"/>
      <c r="N167" s="30"/>
    </row>
    <row r="168" spans="1:14" ht="48" x14ac:dyDescent="0.25">
      <c r="A168" s="19" t="s">
        <v>10026</v>
      </c>
      <c r="B168" s="17" t="s">
        <v>10025</v>
      </c>
      <c r="C168" s="20">
        <v>1</v>
      </c>
      <c r="D168" s="18">
        <v>69</v>
      </c>
      <c r="E168" s="20" t="s">
        <v>10024</v>
      </c>
      <c r="F168" s="17" t="s">
        <v>35</v>
      </c>
      <c r="G168" s="19" t="s">
        <v>197</v>
      </c>
      <c r="H168" s="18">
        <v>11.613333333333333</v>
      </c>
      <c r="I168" s="17" t="s">
        <v>820</v>
      </c>
      <c r="J168" s="17" t="s">
        <v>67</v>
      </c>
      <c r="K168" s="17"/>
      <c r="L168" s="17"/>
      <c r="M168" s="16"/>
      <c r="N168" s="30"/>
    </row>
    <row r="169" spans="1:14" ht="48" x14ac:dyDescent="0.25">
      <c r="A169" s="19" t="s">
        <v>10023</v>
      </c>
      <c r="B169" s="17" t="s">
        <v>10022</v>
      </c>
      <c r="C169" s="20">
        <v>1</v>
      </c>
      <c r="D169" s="18">
        <v>69</v>
      </c>
      <c r="E169" s="20" t="s">
        <v>3438</v>
      </c>
      <c r="F169" s="17" t="s">
        <v>58</v>
      </c>
      <c r="G169" s="19" t="s">
        <v>116</v>
      </c>
      <c r="H169" s="18">
        <v>10.666666666666668</v>
      </c>
      <c r="I169" s="17" t="s">
        <v>148</v>
      </c>
      <c r="J169" s="17" t="s">
        <v>409</v>
      </c>
      <c r="K169" s="17"/>
      <c r="L169" s="17"/>
      <c r="M169" s="16"/>
      <c r="N169" s="30"/>
    </row>
    <row r="170" spans="1:14" ht="48" x14ac:dyDescent="0.25">
      <c r="A170" s="19" t="s">
        <v>10021</v>
      </c>
      <c r="B170" s="17" t="s">
        <v>10020</v>
      </c>
      <c r="C170" s="20">
        <v>1</v>
      </c>
      <c r="D170" s="18">
        <v>69</v>
      </c>
      <c r="E170" s="20">
        <v>2321703</v>
      </c>
      <c r="F170" s="17" t="s">
        <v>28</v>
      </c>
      <c r="G170" s="19" t="s">
        <v>62</v>
      </c>
      <c r="H170" s="18">
        <v>10</v>
      </c>
      <c r="I170" s="17" t="s">
        <v>80</v>
      </c>
      <c r="J170" s="17" t="s">
        <v>293</v>
      </c>
      <c r="K170" s="17"/>
      <c r="L170" s="17"/>
      <c r="M170" s="16"/>
      <c r="N170" s="30"/>
    </row>
    <row r="171" spans="1:14" ht="48" x14ac:dyDescent="0.25">
      <c r="A171" s="19" t="s">
        <v>10019</v>
      </c>
      <c r="B171" s="17" t="s">
        <v>10018</v>
      </c>
      <c r="C171" s="20">
        <v>1</v>
      </c>
      <c r="D171" s="18">
        <v>59</v>
      </c>
      <c r="E171" s="20">
        <v>8160609</v>
      </c>
      <c r="F171" s="17" t="s">
        <v>263</v>
      </c>
      <c r="G171" s="19" t="s">
        <v>101</v>
      </c>
      <c r="H171" s="18">
        <v>9.8333333333333339</v>
      </c>
      <c r="I171" s="17" t="s">
        <v>129</v>
      </c>
      <c r="J171" s="17" t="s">
        <v>128</v>
      </c>
      <c r="K171" s="17"/>
      <c r="L171" s="17"/>
      <c r="M171" s="16"/>
      <c r="N171" s="30"/>
    </row>
    <row r="172" spans="1:14" x14ac:dyDescent="0.25">
      <c r="A172" s="19" t="s">
        <v>10017</v>
      </c>
      <c r="B172" s="17" t="s">
        <v>10016</v>
      </c>
      <c r="C172" s="20">
        <v>1</v>
      </c>
      <c r="D172" s="18">
        <v>39</v>
      </c>
      <c r="E172" s="20" t="s">
        <v>10015</v>
      </c>
      <c r="F172" s="17" t="s">
        <v>51</v>
      </c>
      <c r="G172" s="19" t="s">
        <v>22</v>
      </c>
      <c r="H172" s="18">
        <v>8.326666666666668</v>
      </c>
      <c r="I172" s="17" t="s">
        <v>49</v>
      </c>
      <c r="J172" s="17" t="s">
        <v>48</v>
      </c>
      <c r="K172" s="17"/>
      <c r="L172" s="17"/>
      <c r="M172" s="16"/>
      <c r="N172" s="30"/>
    </row>
    <row r="173" spans="1:14" ht="48" x14ac:dyDescent="0.25">
      <c r="A173" s="19" t="s">
        <v>10014</v>
      </c>
      <c r="B173" s="17" t="s">
        <v>10013</v>
      </c>
      <c r="C173" s="20">
        <v>1</v>
      </c>
      <c r="D173" s="18">
        <v>39.5</v>
      </c>
      <c r="E173" s="20" t="s">
        <v>10012</v>
      </c>
      <c r="F173" s="17" t="s">
        <v>23</v>
      </c>
      <c r="G173" s="19" t="s">
        <v>57</v>
      </c>
      <c r="H173" s="18">
        <v>7.4400000000000013</v>
      </c>
      <c r="I173" s="17" t="s">
        <v>68</v>
      </c>
      <c r="J173" s="17" t="s">
        <v>67</v>
      </c>
      <c r="K173" s="17"/>
      <c r="L173" s="17"/>
      <c r="M173" s="16"/>
      <c r="N173" s="30"/>
    </row>
    <row r="174" spans="1:14" ht="48" x14ac:dyDescent="0.25">
      <c r="A174" s="19" t="s">
        <v>10011</v>
      </c>
      <c r="B174" s="17" t="s">
        <v>10010</v>
      </c>
      <c r="C174" s="20">
        <v>1</v>
      </c>
      <c r="D174" s="18">
        <v>39.5</v>
      </c>
      <c r="E174" s="20" t="s">
        <v>995</v>
      </c>
      <c r="F174" s="17" t="s">
        <v>206</v>
      </c>
      <c r="G174" s="19" t="s">
        <v>62</v>
      </c>
      <c r="H174" s="18">
        <v>7.4400000000000013</v>
      </c>
      <c r="I174" s="17" t="s">
        <v>56</v>
      </c>
      <c r="J174" s="17" t="s">
        <v>55</v>
      </c>
      <c r="K174" s="17"/>
      <c r="L174" s="17"/>
      <c r="M174" s="16"/>
      <c r="N174" s="30"/>
    </row>
  </sheetData>
  <pageMargins left="0.5" right="0.5" top="0.25" bottom="0.25" header="0.3" footer="0.3"/>
  <pageSetup scale="6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246"/>
  <sheetViews>
    <sheetView workbookViewId="0">
      <selection activeCell="J1" sqref="J1:J1048576"/>
    </sheetView>
  </sheetViews>
  <sheetFormatPr defaultRowHeight="15" x14ac:dyDescent="0.25"/>
  <cols>
    <col min="1" max="1" width="14.140625" style="15" bestFit="1" customWidth="1"/>
    <col min="2" max="2" width="57.7109375" style="15" customWidth="1"/>
    <col min="3" max="3" width="12.42578125" style="15" bestFit="1" customWidth="1"/>
    <col min="4" max="4" width="9.85546875" style="15" bestFit="1" customWidth="1"/>
    <col min="5" max="5" width="16.140625" style="15" bestFit="1" customWidth="1"/>
    <col min="6" max="6" width="13.140625" style="15" bestFit="1" customWidth="1"/>
    <col min="7" max="7" width="10.28515625" style="15" customWidth="1"/>
    <col min="8" max="8" width="11.7109375" style="15" bestFit="1" customWidth="1"/>
    <col min="9" max="9" width="11.28515625" style="15" bestFit="1" customWidth="1"/>
    <col min="10" max="10" width="7.42578125" style="15" customWidth="1"/>
    <col min="11" max="11" width="10.85546875" style="15" customWidth="1"/>
    <col min="12" max="12" width="12.140625" style="15" customWidth="1"/>
    <col min="13" max="13" width="36.5703125" style="15" bestFit="1" customWidth="1"/>
    <col min="14" max="15" width="20.7109375" style="15" customWidth="1"/>
    <col min="16" max="16" width="64.28515625" style="15" customWidth="1"/>
    <col min="17" max="16384" width="9.140625" style="15"/>
  </cols>
  <sheetData>
    <row r="1" spans="1:12" ht="36" x14ac:dyDescent="0.25">
      <c r="A1" s="31" t="s">
        <v>2</v>
      </c>
      <c r="B1" s="31" t="s">
        <v>3</v>
      </c>
      <c r="C1" s="31" t="s">
        <v>5</v>
      </c>
      <c r="D1" s="31" t="s">
        <v>817</v>
      </c>
      <c r="E1" s="31" t="s">
        <v>7</v>
      </c>
      <c r="F1" s="31" t="s">
        <v>816</v>
      </c>
      <c r="G1" s="31" t="s">
        <v>815</v>
      </c>
      <c r="H1" s="31" t="s">
        <v>814</v>
      </c>
      <c r="I1" s="31" t="s">
        <v>10</v>
      </c>
    </row>
    <row r="2" spans="1:12" ht="36" x14ac:dyDescent="0.25">
      <c r="A2" s="17" t="s">
        <v>14</v>
      </c>
      <c r="B2" s="32">
        <v>14139506</v>
      </c>
      <c r="C2" s="17" t="s">
        <v>11</v>
      </c>
      <c r="D2" s="17" t="s">
        <v>813</v>
      </c>
      <c r="E2" s="20">
        <v>1</v>
      </c>
      <c r="F2" s="20">
        <v>2</v>
      </c>
      <c r="G2" s="17">
        <v>312</v>
      </c>
      <c r="H2" s="18">
        <v>28426.93</v>
      </c>
      <c r="I2" s="17">
        <v>428</v>
      </c>
      <c r="J2" s="30"/>
      <c r="K2" s="30"/>
    </row>
    <row r="3" spans="1:12" x14ac:dyDescent="0.25">
      <c r="A3" s="23"/>
      <c r="B3" s="25"/>
      <c r="C3" s="25"/>
      <c r="D3" s="23"/>
      <c r="E3" s="23"/>
      <c r="F3" s="23"/>
      <c r="G3" s="25"/>
      <c r="H3" s="25"/>
      <c r="I3" s="23"/>
      <c r="J3" s="23"/>
      <c r="K3" s="22"/>
      <c r="L3" s="22"/>
    </row>
    <row r="4" spans="1:12" s="21" customFormat="1" x14ac:dyDescent="0.25"/>
    <row r="5" spans="1:12" x14ac:dyDescent="0.25">
      <c r="A5" s="1"/>
      <c r="B5" s="1"/>
      <c r="C5" s="1"/>
      <c r="D5" s="1"/>
    </row>
    <row r="6" spans="1:12" x14ac:dyDescent="0.25">
      <c r="A6" s="24"/>
      <c r="B6" s="23"/>
      <c r="C6" s="22"/>
      <c r="D6" s="22"/>
    </row>
    <row r="7" spans="1:12" s="21" customFormat="1" x14ac:dyDescent="0.25"/>
    <row r="8" spans="1:12" ht="36" x14ac:dyDescent="0.25">
      <c r="A8" s="31" t="s">
        <v>812</v>
      </c>
      <c r="B8" s="31" t="s">
        <v>811</v>
      </c>
      <c r="C8" s="31" t="s">
        <v>810</v>
      </c>
      <c r="D8" s="31" t="s">
        <v>9</v>
      </c>
      <c r="E8" s="31" t="s">
        <v>809</v>
      </c>
      <c r="F8" s="31" t="s">
        <v>808</v>
      </c>
      <c r="G8" s="31" t="s">
        <v>807</v>
      </c>
      <c r="H8" s="31" t="s">
        <v>806</v>
      </c>
      <c r="I8" s="31" t="s">
        <v>805</v>
      </c>
      <c r="J8" s="31" t="s">
        <v>802</v>
      </c>
      <c r="K8" s="31" t="s">
        <v>801</v>
      </c>
    </row>
    <row r="9" spans="1:12" ht="60" x14ac:dyDescent="0.25">
      <c r="A9" s="19" t="s">
        <v>800</v>
      </c>
      <c r="B9" s="17" t="s">
        <v>799</v>
      </c>
      <c r="C9" s="20">
        <v>2</v>
      </c>
      <c r="D9" s="18">
        <v>178</v>
      </c>
      <c r="E9" s="20" t="s">
        <v>798</v>
      </c>
      <c r="F9" s="17" t="s">
        <v>575</v>
      </c>
      <c r="G9" s="19"/>
      <c r="H9" s="18">
        <v>53.333333333333336</v>
      </c>
      <c r="I9" s="17" t="s">
        <v>148</v>
      </c>
      <c r="J9" s="17"/>
      <c r="K9" s="16" t="str">
        <f>HYPERLINK("http://slimages.macys.com/is/image/MCY/19263793 ")</f>
        <v xml:space="preserve">http://slimages.macys.com/is/image/MCY/19263793 </v>
      </c>
      <c r="L9" s="30"/>
    </row>
    <row r="10" spans="1:12" ht="60" x14ac:dyDescent="0.25">
      <c r="A10" s="19" t="s">
        <v>797</v>
      </c>
      <c r="B10" s="17" t="s">
        <v>796</v>
      </c>
      <c r="C10" s="20">
        <v>1</v>
      </c>
      <c r="D10" s="18">
        <v>249.5</v>
      </c>
      <c r="E10" s="20" t="s">
        <v>783</v>
      </c>
      <c r="F10" s="17" t="s">
        <v>263</v>
      </c>
      <c r="G10" s="19" t="s">
        <v>197</v>
      </c>
      <c r="H10" s="18">
        <v>50.166666666666671</v>
      </c>
      <c r="I10" s="17" t="s">
        <v>106</v>
      </c>
      <c r="J10" s="17"/>
      <c r="K10" s="16" t="str">
        <f t="shared" ref="K10:K16" si="0">HYPERLINK("http://slimages.macys.com/is/image/MCY/20134417 ")</f>
        <v xml:space="preserve">http://slimages.macys.com/is/image/MCY/20134417 </v>
      </c>
      <c r="L10" s="30"/>
    </row>
    <row r="11" spans="1:12" ht="60" x14ac:dyDescent="0.25">
      <c r="A11" s="19" t="s">
        <v>795</v>
      </c>
      <c r="B11" s="17" t="s">
        <v>794</v>
      </c>
      <c r="C11" s="20">
        <v>1</v>
      </c>
      <c r="D11" s="18">
        <v>249.5</v>
      </c>
      <c r="E11" s="20" t="s">
        <v>783</v>
      </c>
      <c r="F11" s="17" t="s">
        <v>51</v>
      </c>
      <c r="G11" s="19" t="s">
        <v>62</v>
      </c>
      <c r="H11" s="18">
        <v>50.166666666666671</v>
      </c>
      <c r="I11" s="17" t="s">
        <v>106</v>
      </c>
      <c r="J11" s="17"/>
      <c r="K11" s="16" t="str">
        <f t="shared" si="0"/>
        <v xml:space="preserve">http://slimages.macys.com/is/image/MCY/20134417 </v>
      </c>
      <c r="L11" s="30"/>
    </row>
    <row r="12" spans="1:12" ht="60" x14ac:dyDescent="0.25">
      <c r="A12" s="19" t="s">
        <v>793</v>
      </c>
      <c r="B12" s="17" t="s">
        <v>792</v>
      </c>
      <c r="C12" s="20">
        <v>1</v>
      </c>
      <c r="D12" s="18">
        <v>249.5</v>
      </c>
      <c r="E12" s="20" t="s">
        <v>783</v>
      </c>
      <c r="F12" s="17" t="s">
        <v>263</v>
      </c>
      <c r="G12" s="19" t="s">
        <v>69</v>
      </c>
      <c r="H12" s="18">
        <v>50.166666666666671</v>
      </c>
      <c r="I12" s="17" t="s">
        <v>106</v>
      </c>
      <c r="J12" s="17"/>
      <c r="K12" s="16" t="str">
        <f t="shared" si="0"/>
        <v xml:space="preserve">http://slimages.macys.com/is/image/MCY/20134417 </v>
      </c>
      <c r="L12" s="30"/>
    </row>
    <row r="13" spans="1:12" ht="60" x14ac:dyDescent="0.25">
      <c r="A13" s="19" t="s">
        <v>791</v>
      </c>
      <c r="B13" s="17" t="s">
        <v>790</v>
      </c>
      <c r="C13" s="20">
        <v>1</v>
      </c>
      <c r="D13" s="18">
        <v>249.5</v>
      </c>
      <c r="E13" s="20" t="s">
        <v>783</v>
      </c>
      <c r="F13" s="17" t="s">
        <v>263</v>
      </c>
      <c r="G13" s="19" t="s">
        <v>62</v>
      </c>
      <c r="H13" s="18">
        <v>50.166666666666671</v>
      </c>
      <c r="I13" s="17" t="s">
        <v>106</v>
      </c>
      <c r="J13" s="17"/>
      <c r="K13" s="16" t="str">
        <f t="shared" si="0"/>
        <v xml:space="preserve">http://slimages.macys.com/is/image/MCY/20134417 </v>
      </c>
      <c r="L13" s="30"/>
    </row>
    <row r="14" spans="1:12" ht="60" x14ac:dyDescent="0.25">
      <c r="A14" s="19" t="s">
        <v>789</v>
      </c>
      <c r="B14" s="17" t="s">
        <v>788</v>
      </c>
      <c r="C14" s="20">
        <v>1</v>
      </c>
      <c r="D14" s="18">
        <v>249.5</v>
      </c>
      <c r="E14" s="20" t="s">
        <v>783</v>
      </c>
      <c r="F14" s="17" t="s">
        <v>726</v>
      </c>
      <c r="G14" s="19" t="s">
        <v>62</v>
      </c>
      <c r="H14" s="18">
        <v>50.166666666666671</v>
      </c>
      <c r="I14" s="17" t="s">
        <v>106</v>
      </c>
      <c r="J14" s="17"/>
      <c r="K14" s="16" t="str">
        <f t="shared" si="0"/>
        <v xml:space="preserve">http://slimages.macys.com/is/image/MCY/20134417 </v>
      </c>
      <c r="L14" s="30"/>
    </row>
    <row r="15" spans="1:12" ht="60" x14ac:dyDescent="0.25">
      <c r="A15" s="19" t="s">
        <v>787</v>
      </c>
      <c r="B15" s="17" t="s">
        <v>786</v>
      </c>
      <c r="C15" s="20">
        <v>1</v>
      </c>
      <c r="D15" s="18">
        <v>249.5</v>
      </c>
      <c r="E15" s="20" t="s">
        <v>783</v>
      </c>
      <c r="F15" s="17" t="s">
        <v>726</v>
      </c>
      <c r="G15" s="19" t="s">
        <v>69</v>
      </c>
      <c r="H15" s="18">
        <v>50.166666666666671</v>
      </c>
      <c r="I15" s="17" t="s">
        <v>106</v>
      </c>
      <c r="J15" s="17"/>
      <c r="K15" s="16" t="str">
        <f t="shared" si="0"/>
        <v xml:space="preserve">http://slimages.macys.com/is/image/MCY/20134417 </v>
      </c>
      <c r="L15" s="30"/>
    </row>
    <row r="16" spans="1:12" ht="60" x14ac:dyDescent="0.25">
      <c r="A16" s="19" t="s">
        <v>785</v>
      </c>
      <c r="B16" s="17" t="s">
        <v>784</v>
      </c>
      <c r="C16" s="20">
        <v>1</v>
      </c>
      <c r="D16" s="18">
        <v>249.5</v>
      </c>
      <c r="E16" s="20" t="s">
        <v>783</v>
      </c>
      <c r="F16" s="17" t="s">
        <v>51</v>
      </c>
      <c r="G16" s="19" t="s">
        <v>69</v>
      </c>
      <c r="H16" s="18">
        <v>50.166666666666671</v>
      </c>
      <c r="I16" s="17" t="s">
        <v>106</v>
      </c>
      <c r="J16" s="17"/>
      <c r="K16" s="16" t="str">
        <f t="shared" si="0"/>
        <v xml:space="preserve">http://slimages.macys.com/is/image/MCY/20134417 </v>
      </c>
      <c r="L16" s="30"/>
    </row>
    <row r="17" spans="1:12" ht="60" x14ac:dyDescent="0.25">
      <c r="A17" s="19" t="s">
        <v>782</v>
      </c>
      <c r="B17" s="17" t="s">
        <v>781</v>
      </c>
      <c r="C17" s="20">
        <v>1</v>
      </c>
      <c r="D17" s="18">
        <v>118</v>
      </c>
      <c r="E17" s="20" t="s">
        <v>780</v>
      </c>
      <c r="F17" s="17" t="s">
        <v>51</v>
      </c>
      <c r="G17" s="19" t="s">
        <v>62</v>
      </c>
      <c r="H17" s="18">
        <v>36.000000000000007</v>
      </c>
      <c r="I17" s="17" t="s">
        <v>148</v>
      </c>
      <c r="J17" s="17"/>
      <c r="K17" s="16" t="str">
        <f>HYPERLINK("http://slimages.macys.com/is/image/MCY/19781871 ")</f>
        <v xml:space="preserve">http://slimages.macys.com/is/image/MCY/19781871 </v>
      </c>
      <c r="L17" s="30"/>
    </row>
    <row r="18" spans="1:12" ht="60" x14ac:dyDescent="0.25">
      <c r="A18" s="19" t="s">
        <v>779</v>
      </c>
      <c r="B18" s="17" t="s">
        <v>778</v>
      </c>
      <c r="C18" s="20">
        <v>1</v>
      </c>
      <c r="D18" s="18">
        <v>148</v>
      </c>
      <c r="E18" s="20" t="s">
        <v>777</v>
      </c>
      <c r="F18" s="17" t="s">
        <v>623</v>
      </c>
      <c r="G18" s="19" t="s">
        <v>197</v>
      </c>
      <c r="H18" s="18">
        <v>32.606666666666669</v>
      </c>
      <c r="I18" s="17" t="s">
        <v>153</v>
      </c>
      <c r="J18" s="17"/>
      <c r="K18" s="16" t="str">
        <f>HYPERLINK("http://slimages.macys.com/is/image/MCY/20162388 ")</f>
        <v xml:space="preserve">http://slimages.macys.com/is/image/MCY/20162388 </v>
      </c>
      <c r="L18" s="30"/>
    </row>
    <row r="19" spans="1:12" ht="96" x14ac:dyDescent="0.25">
      <c r="A19" s="19" t="s">
        <v>776</v>
      </c>
      <c r="B19" s="17" t="s">
        <v>775</v>
      </c>
      <c r="C19" s="20">
        <v>1</v>
      </c>
      <c r="D19" s="18">
        <v>99</v>
      </c>
      <c r="E19" s="20" t="s">
        <v>774</v>
      </c>
      <c r="F19" s="17" t="s">
        <v>58</v>
      </c>
      <c r="G19" s="19" t="s">
        <v>773</v>
      </c>
      <c r="H19" s="18">
        <v>30</v>
      </c>
      <c r="I19" s="17" t="s">
        <v>148</v>
      </c>
      <c r="J19" s="17" t="s">
        <v>770</v>
      </c>
      <c r="K19" s="16" t="str">
        <f>HYPERLINK("http://images.bloomingdales.com/is/image/BLM/11387933 ")</f>
        <v xml:space="preserve">http://images.bloomingdales.com/is/image/BLM/11387933 </v>
      </c>
      <c r="L19" s="30"/>
    </row>
    <row r="20" spans="1:12" ht="60" x14ac:dyDescent="0.25">
      <c r="A20" s="19" t="s">
        <v>769</v>
      </c>
      <c r="B20" s="17" t="s">
        <v>768</v>
      </c>
      <c r="C20" s="20">
        <v>1</v>
      </c>
      <c r="D20" s="18">
        <v>128</v>
      </c>
      <c r="E20" s="20" t="s">
        <v>761</v>
      </c>
      <c r="F20" s="17" t="s">
        <v>23</v>
      </c>
      <c r="G20" s="19" t="s">
        <v>50</v>
      </c>
      <c r="H20" s="18">
        <v>28.24666666666667</v>
      </c>
      <c r="I20" s="17" t="s">
        <v>49</v>
      </c>
      <c r="J20" s="17"/>
      <c r="K20" s="16" t="str">
        <f>HYPERLINK("http://slimages.macys.com/is/image/MCY/19357129 ")</f>
        <v xml:space="preserve">http://slimages.macys.com/is/image/MCY/19357129 </v>
      </c>
      <c r="L20" s="30"/>
    </row>
    <row r="21" spans="1:12" ht="60" x14ac:dyDescent="0.25">
      <c r="A21" s="19" t="s">
        <v>767</v>
      </c>
      <c r="B21" s="17" t="s">
        <v>766</v>
      </c>
      <c r="C21" s="20">
        <v>1</v>
      </c>
      <c r="D21" s="18">
        <v>128</v>
      </c>
      <c r="E21" s="20" t="s">
        <v>765</v>
      </c>
      <c r="F21" s="17" t="s">
        <v>764</v>
      </c>
      <c r="G21" s="19"/>
      <c r="H21" s="18">
        <v>28.24666666666667</v>
      </c>
      <c r="I21" s="17" t="s">
        <v>49</v>
      </c>
      <c r="J21" s="17"/>
      <c r="K21" s="16" t="str">
        <f>HYPERLINK("http://slimages.macys.com/is/image/MCY/19564938 ")</f>
        <v xml:space="preserve">http://slimages.macys.com/is/image/MCY/19564938 </v>
      </c>
      <c r="L21" s="30"/>
    </row>
    <row r="22" spans="1:12" ht="60" x14ac:dyDescent="0.25">
      <c r="A22" s="19" t="s">
        <v>763</v>
      </c>
      <c r="B22" s="17" t="s">
        <v>762</v>
      </c>
      <c r="C22" s="20">
        <v>1</v>
      </c>
      <c r="D22" s="18">
        <v>128</v>
      </c>
      <c r="E22" s="20" t="s">
        <v>761</v>
      </c>
      <c r="F22" s="17" t="s">
        <v>216</v>
      </c>
      <c r="G22" s="19" t="s">
        <v>62</v>
      </c>
      <c r="H22" s="18">
        <v>28.24666666666667</v>
      </c>
      <c r="I22" s="17" t="s">
        <v>49</v>
      </c>
      <c r="J22" s="17"/>
      <c r="K22" s="16" t="str">
        <f>HYPERLINK("http://slimages.macys.com/is/image/MCY/19357129 ")</f>
        <v xml:space="preserve">http://slimages.macys.com/is/image/MCY/19357129 </v>
      </c>
      <c r="L22" s="30"/>
    </row>
    <row r="23" spans="1:12" ht="60" x14ac:dyDescent="0.25">
      <c r="A23" s="19" t="s">
        <v>760</v>
      </c>
      <c r="B23" s="17" t="s">
        <v>759</v>
      </c>
      <c r="C23" s="20">
        <v>1</v>
      </c>
      <c r="D23" s="18">
        <v>98</v>
      </c>
      <c r="E23" s="20" t="s">
        <v>758</v>
      </c>
      <c r="F23" s="17" t="s">
        <v>23</v>
      </c>
      <c r="G23" s="19" t="s">
        <v>757</v>
      </c>
      <c r="H23" s="18">
        <v>27.840000000000003</v>
      </c>
      <c r="I23" s="17" t="s">
        <v>756</v>
      </c>
      <c r="J23" s="17"/>
      <c r="K23" s="16" t="str">
        <f>HYPERLINK("http://slimages.macys.com/is/image/MCY/20231237 ")</f>
        <v xml:space="preserve">http://slimages.macys.com/is/image/MCY/20231237 </v>
      </c>
      <c r="L23" s="30"/>
    </row>
    <row r="24" spans="1:12" ht="60" x14ac:dyDescent="0.25">
      <c r="A24" s="19" t="s">
        <v>755</v>
      </c>
      <c r="B24" s="17" t="s">
        <v>754</v>
      </c>
      <c r="C24" s="20">
        <v>1</v>
      </c>
      <c r="D24" s="18">
        <v>138</v>
      </c>
      <c r="E24" s="20" t="s">
        <v>753</v>
      </c>
      <c r="F24" s="17" t="s">
        <v>149</v>
      </c>
      <c r="G24" s="19" t="s">
        <v>698</v>
      </c>
      <c r="H24" s="18">
        <v>27.599999999999998</v>
      </c>
      <c r="I24" s="17" t="s">
        <v>115</v>
      </c>
      <c r="J24" s="17"/>
      <c r="K24" s="16" t="str">
        <f>HYPERLINK("http://slimages.macys.com/is/image/MCY/18784971 ")</f>
        <v xml:space="preserve">http://slimages.macys.com/is/image/MCY/18784971 </v>
      </c>
      <c r="L24" s="30"/>
    </row>
    <row r="25" spans="1:12" ht="60" x14ac:dyDescent="0.25">
      <c r="A25" s="19" t="s">
        <v>752</v>
      </c>
      <c r="B25" s="17" t="s">
        <v>751</v>
      </c>
      <c r="C25" s="20">
        <v>1</v>
      </c>
      <c r="D25" s="18">
        <v>138</v>
      </c>
      <c r="E25" s="20" t="s">
        <v>750</v>
      </c>
      <c r="F25" s="17" t="s">
        <v>28</v>
      </c>
      <c r="G25" s="19" t="s">
        <v>749</v>
      </c>
      <c r="H25" s="18">
        <v>27.599999999999998</v>
      </c>
      <c r="I25" s="17" t="s">
        <v>115</v>
      </c>
      <c r="J25" s="17"/>
      <c r="K25" s="16" t="str">
        <f>HYPERLINK("http://slimages.macys.com/is/image/MCY/19070626 ")</f>
        <v xml:space="preserve">http://slimages.macys.com/is/image/MCY/19070626 </v>
      </c>
      <c r="L25" s="30"/>
    </row>
    <row r="26" spans="1:12" ht="60" x14ac:dyDescent="0.25">
      <c r="A26" s="19" t="s">
        <v>747</v>
      </c>
      <c r="B26" s="17" t="s">
        <v>746</v>
      </c>
      <c r="C26" s="20">
        <v>1</v>
      </c>
      <c r="D26" s="18">
        <v>129</v>
      </c>
      <c r="E26" s="20">
        <v>10809612</v>
      </c>
      <c r="F26" s="17" t="s">
        <v>44</v>
      </c>
      <c r="G26" s="19" t="s">
        <v>69</v>
      </c>
      <c r="H26" s="18">
        <v>26.66</v>
      </c>
      <c r="I26" s="17" t="s">
        <v>144</v>
      </c>
      <c r="J26" s="17"/>
      <c r="K26" s="16" t="str">
        <f>HYPERLINK("http://slimages.macys.com/is/image/MCY/19432812 ")</f>
        <v xml:space="preserve">http://slimages.macys.com/is/image/MCY/19432812 </v>
      </c>
      <c r="L26" s="30"/>
    </row>
    <row r="27" spans="1:12" ht="60" x14ac:dyDescent="0.25">
      <c r="A27" s="19" t="s">
        <v>745</v>
      </c>
      <c r="B27" s="17" t="s">
        <v>744</v>
      </c>
      <c r="C27" s="20">
        <v>1</v>
      </c>
      <c r="D27" s="18">
        <v>148</v>
      </c>
      <c r="E27" s="20" t="s">
        <v>743</v>
      </c>
      <c r="F27" s="17" t="s">
        <v>359</v>
      </c>
      <c r="G27" s="19" t="s">
        <v>116</v>
      </c>
      <c r="H27" s="18">
        <v>26.64</v>
      </c>
      <c r="I27" s="17" t="s">
        <v>115</v>
      </c>
      <c r="J27" s="17"/>
      <c r="K27" s="16" t="str">
        <f>HYPERLINK("http://slimages.macys.com/is/image/MCY/16842224 ")</f>
        <v xml:space="preserve">http://slimages.macys.com/is/image/MCY/16842224 </v>
      </c>
      <c r="L27" s="30"/>
    </row>
    <row r="28" spans="1:12" ht="60" x14ac:dyDescent="0.25">
      <c r="A28" s="19" t="s">
        <v>741</v>
      </c>
      <c r="B28" s="17" t="s">
        <v>740</v>
      </c>
      <c r="C28" s="20">
        <v>1</v>
      </c>
      <c r="D28" s="18">
        <v>104.25</v>
      </c>
      <c r="E28" s="20" t="s">
        <v>739</v>
      </c>
      <c r="F28" s="17" t="s">
        <v>272</v>
      </c>
      <c r="G28" s="19" t="s">
        <v>738</v>
      </c>
      <c r="H28" s="18">
        <v>26.233333333333334</v>
      </c>
      <c r="I28" s="17" t="s">
        <v>33</v>
      </c>
      <c r="J28" s="17"/>
      <c r="K28" s="16" t="str">
        <f>HYPERLINK("http://slimages.macys.com/is/image/MCY/19722944 ")</f>
        <v xml:space="preserve">http://slimages.macys.com/is/image/MCY/19722944 </v>
      </c>
      <c r="L28" s="30"/>
    </row>
    <row r="29" spans="1:12" ht="60" x14ac:dyDescent="0.25">
      <c r="A29" s="19" t="s">
        <v>737</v>
      </c>
      <c r="B29" s="17" t="s">
        <v>736</v>
      </c>
      <c r="C29" s="20">
        <v>1</v>
      </c>
      <c r="D29" s="18">
        <v>129.5</v>
      </c>
      <c r="E29" s="20" t="s">
        <v>735</v>
      </c>
      <c r="F29" s="17" t="s">
        <v>734</v>
      </c>
      <c r="G29" s="19" t="s">
        <v>74</v>
      </c>
      <c r="H29" s="18">
        <v>26.086666666666666</v>
      </c>
      <c r="I29" s="17" t="s">
        <v>106</v>
      </c>
      <c r="J29" s="17"/>
      <c r="K29" s="16" t="str">
        <f>HYPERLINK("http://slimages.macys.com/is/image/MCY/20110281 ")</f>
        <v xml:space="preserve">http://slimages.macys.com/is/image/MCY/20110281 </v>
      </c>
      <c r="L29" s="30"/>
    </row>
    <row r="30" spans="1:12" ht="60" x14ac:dyDescent="0.25">
      <c r="A30" s="19" t="s">
        <v>733</v>
      </c>
      <c r="B30" s="17" t="s">
        <v>732</v>
      </c>
      <c r="C30" s="20">
        <v>1</v>
      </c>
      <c r="D30" s="18">
        <v>118</v>
      </c>
      <c r="E30" s="20" t="s">
        <v>731</v>
      </c>
      <c r="F30" s="17"/>
      <c r="G30" s="19"/>
      <c r="H30" s="18">
        <v>26.040000000000003</v>
      </c>
      <c r="I30" s="17" t="s">
        <v>49</v>
      </c>
      <c r="J30" s="17"/>
      <c r="K30" s="16" t="str">
        <f>HYPERLINK("http://slimages.macys.com/is/image/MCY/19635029 ")</f>
        <v xml:space="preserve">http://slimages.macys.com/is/image/MCY/19635029 </v>
      </c>
      <c r="L30" s="30"/>
    </row>
    <row r="31" spans="1:12" ht="60" x14ac:dyDescent="0.25">
      <c r="A31" s="19" t="s">
        <v>730</v>
      </c>
      <c r="B31" s="17" t="s">
        <v>729</v>
      </c>
      <c r="C31" s="20">
        <v>1</v>
      </c>
      <c r="D31" s="18">
        <v>149</v>
      </c>
      <c r="E31" s="20">
        <v>10815480</v>
      </c>
      <c r="F31" s="17" t="s">
        <v>544</v>
      </c>
      <c r="G31" s="19" t="s">
        <v>197</v>
      </c>
      <c r="H31" s="18">
        <v>24.833333333333336</v>
      </c>
      <c r="I31" s="17" t="s">
        <v>120</v>
      </c>
      <c r="J31" s="17"/>
      <c r="K31" s="16" t="str">
        <f>HYPERLINK("http://slimages.macys.com/is/image/MCY/20261611 ")</f>
        <v xml:space="preserve">http://slimages.macys.com/is/image/MCY/20261611 </v>
      </c>
      <c r="L31" s="30"/>
    </row>
    <row r="32" spans="1:12" ht="60" x14ac:dyDescent="0.25">
      <c r="A32" s="19" t="s">
        <v>728</v>
      </c>
      <c r="B32" s="17" t="s">
        <v>727</v>
      </c>
      <c r="C32" s="20">
        <v>1</v>
      </c>
      <c r="D32" s="18">
        <v>119</v>
      </c>
      <c r="E32" s="20">
        <v>10811348</v>
      </c>
      <c r="F32" s="17" t="s">
        <v>726</v>
      </c>
      <c r="G32" s="19" t="s">
        <v>197</v>
      </c>
      <c r="H32" s="18">
        <v>24.593333333333334</v>
      </c>
      <c r="I32" s="17" t="s">
        <v>144</v>
      </c>
      <c r="J32" s="17"/>
      <c r="K32" s="16" t="str">
        <f>HYPERLINK("http://slimages.macys.com/is/image/MCY/20073152 ")</f>
        <v xml:space="preserve">http://slimages.macys.com/is/image/MCY/20073152 </v>
      </c>
      <c r="L32" s="30"/>
    </row>
    <row r="33" spans="1:12" ht="60" x14ac:dyDescent="0.25">
      <c r="A33" s="19" t="s">
        <v>725</v>
      </c>
      <c r="B33" s="17" t="s">
        <v>724</v>
      </c>
      <c r="C33" s="20">
        <v>1</v>
      </c>
      <c r="D33" s="18">
        <v>119.5</v>
      </c>
      <c r="E33" s="20" t="s">
        <v>723</v>
      </c>
      <c r="F33" s="17" t="s">
        <v>91</v>
      </c>
      <c r="G33" s="19" t="s">
        <v>57</v>
      </c>
      <c r="H33" s="18">
        <v>24.073333333333334</v>
      </c>
      <c r="I33" s="17" t="s">
        <v>106</v>
      </c>
      <c r="J33" s="17"/>
      <c r="K33" s="16" t="str">
        <f>HYPERLINK("http://slimages.macys.com/is/image/MCY/19900105 ")</f>
        <v xml:space="preserve">http://slimages.macys.com/is/image/MCY/19900105 </v>
      </c>
      <c r="L33" s="30"/>
    </row>
    <row r="34" spans="1:12" ht="60" x14ac:dyDescent="0.25">
      <c r="A34" s="19" t="s">
        <v>722</v>
      </c>
      <c r="B34" s="17" t="s">
        <v>721</v>
      </c>
      <c r="C34" s="20">
        <v>1</v>
      </c>
      <c r="D34" s="18">
        <v>108</v>
      </c>
      <c r="E34" s="20" t="s">
        <v>720</v>
      </c>
      <c r="F34" s="17" t="s">
        <v>578</v>
      </c>
      <c r="G34" s="19" t="s">
        <v>101</v>
      </c>
      <c r="H34" s="18">
        <v>23.833333333333336</v>
      </c>
      <c r="I34" s="17" t="s">
        <v>49</v>
      </c>
      <c r="J34" s="17"/>
      <c r="K34" s="16" t="str">
        <f>HYPERLINK("http://slimages.macys.com/is/image/MCY/19634660 ")</f>
        <v xml:space="preserve">http://slimages.macys.com/is/image/MCY/19634660 </v>
      </c>
      <c r="L34" s="30"/>
    </row>
    <row r="35" spans="1:12" ht="60" x14ac:dyDescent="0.25">
      <c r="A35" s="19" t="s">
        <v>719</v>
      </c>
      <c r="B35" s="17" t="s">
        <v>718</v>
      </c>
      <c r="C35" s="20">
        <v>1</v>
      </c>
      <c r="D35" s="18">
        <v>108</v>
      </c>
      <c r="E35" s="20" t="s">
        <v>717</v>
      </c>
      <c r="F35" s="17" t="s">
        <v>716</v>
      </c>
      <c r="G35" s="19" t="s">
        <v>22</v>
      </c>
      <c r="H35" s="18">
        <v>23.833333333333336</v>
      </c>
      <c r="I35" s="17" t="s">
        <v>49</v>
      </c>
      <c r="J35" s="17"/>
      <c r="K35" s="16" t="str">
        <f>HYPERLINK("http://slimages.macys.com/is/image/MCY/18990338 ")</f>
        <v xml:space="preserve">http://slimages.macys.com/is/image/MCY/18990338 </v>
      </c>
      <c r="L35" s="30"/>
    </row>
    <row r="36" spans="1:12" ht="60" x14ac:dyDescent="0.25">
      <c r="A36" s="19" t="s">
        <v>715</v>
      </c>
      <c r="B36" s="17" t="s">
        <v>714</v>
      </c>
      <c r="C36" s="20">
        <v>1</v>
      </c>
      <c r="D36" s="18">
        <v>108</v>
      </c>
      <c r="E36" s="20" t="s">
        <v>713</v>
      </c>
      <c r="F36" s="17" t="s">
        <v>75</v>
      </c>
      <c r="G36" s="19" t="s">
        <v>62</v>
      </c>
      <c r="H36" s="18">
        <v>23.833333333333336</v>
      </c>
      <c r="I36" s="17" t="s">
        <v>49</v>
      </c>
      <c r="J36" s="17"/>
      <c r="K36" s="16" t="str">
        <f>HYPERLINK("http://slimages.macys.com/is/image/MCY/19352365 ")</f>
        <v xml:space="preserve">http://slimages.macys.com/is/image/MCY/19352365 </v>
      </c>
      <c r="L36" s="30"/>
    </row>
    <row r="37" spans="1:12" ht="60" x14ac:dyDescent="0.25">
      <c r="A37" s="19" t="s">
        <v>712</v>
      </c>
      <c r="B37" s="17" t="s">
        <v>711</v>
      </c>
      <c r="C37" s="20">
        <v>1</v>
      </c>
      <c r="D37" s="18">
        <v>139</v>
      </c>
      <c r="E37" s="20">
        <v>10815348</v>
      </c>
      <c r="F37" s="17" t="s">
        <v>97</v>
      </c>
      <c r="G37" s="19" t="s">
        <v>62</v>
      </c>
      <c r="H37" s="18">
        <v>23.166666666666668</v>
      </c>
      <c r="I37" s="17" t="s">
        <v>120</v>
      </c>
      <c r="J37" s="17"/>
      <c r="K37" s="16" t="str">
        <f>HYPERLINK("http://slimages.macys.com/is/image/MCY/20261595 ")</f>
        <v xml:space="preserve">http://slimages.macys.com/is/image/MCY/20261595 </v>
      </c>
      <c r="L37" s="30"/>
    </row>
    <row r="38" spans="1:12" ht="60" x14ac:dyDescent="0.25">
      <c r="A38" s="19" t="s">
        <v>710</v>
      </c>
      <c r="B38" s="17" t="s">
        <v>709</v>
      </c>
      <c r="C38" s="20">
        <v>1</v>
      </c>
      <c r="D38" s="18">
        <v>109.5</v>
      </c>
      <c r="E38" s="20" t="s">
        <v>708</v>
      </c>
      <c r="F38" s="17" t="s">
        <v>51</v>
      </c>
      <c r="G38" s="19" t="s">
        <v>69</v>
      </c>
      <c r="H38" s="18">
        <v>22.793333333333333</v>
      </c>
      <c r="I38" s="17" t="s">
        <v>106</v>
      </c>
      <c r="J38" s="17"/>
      <c r="K38" s="16" t="str">
        <f>HYPERLINK("http://slimages.macys.com/is/image/MCY/20738648 ")</f>
        <v xml:space="preserve">http://slimages.macys.com/is/image/MCY/20738648 </v>
      </c>
      <c r="L38" s="30"/>
    </row>
    <row r="39" spans="1:12" ht="60" x14ac:dyDescent="0.25">
      <c r="A39" s="19" t="s">
        <v>707</v>
      </c>
      <c r="B39" s="17" t="s">
        <v>706</v>
      </c>
      <c r="C39" s="20">
        <v>1</v>
      </c>
      <c r="D39" s="18">
        <v>109.5</v>
      </c>
      <c r="E39" s="20" t="s">
        <v>705</v>
      </c>
      <c r="F39" s="17" t="s">
        <v>51</v>
      </c>
      <c r="G39" s="19" t="s">
        <v>69</v>
      </c>
      <c r="H39" s="18">
        <v>22.060000000000002</v>
      </c>
      <c r="I39" s="17" t="s">
        <v>106</v>
      </c>
      <c r="J39" s="17"/>
      <c r="K39" s="16" t="str">
        <f>HYPERLINK("http://slimages.macys.com/is/image/MCY/20110406 ")</f>
        <v xml:space="preserve">http://slimages.macys.com/is/image/MCY/20110406 </v>
      </c>
      <c r="L39" s="30"/>
    </row>
    <row r="40" spans="1:12" ht="60" x14ac:dyDescent="0.25">
      <c r="A40" s="19" t="s">
        <v>704</v>
      </c>
      <c r="B40" s="17" t="s">
        <v>703</v>
      </c>
      <c r="C40" s="20">
        <v>1</v>
      </c>
      <c r="D40" s="18">
        <v>98</v>
      </c>
      <c r="E40" s="20" t="s">
        <v>702</v>
      </c>
      <c r="F40" s="17" t="s">
        <v>58</v>
      </c>
      <c r="G40" s="19" t="s">
        <v>101</v>
      </c>
      <c r="H40" s="18">
        <v>21.953333333333337</v>
      </c>
      <c r="I40" s="17" t="s">
        <v>49</v>
      </c>
      <c r="J40" s="17"/>
      <c r="K40" s="16" t="str">
        <f>HYPERLINK("http://slimages.macys.com/is/image/MCY/20060872 ")</f>
        <v xml:space="preserve">http://slimages.macys.com/is/image/MCY/20060872 </v>
      </c>
      <c r="L40" s="30"/>
    </row>
    <row r="41" spans="1:12" ht="60" x14ac:dyDescent="0.25">
      <c r="A41" s="19" t="s">
        <v>701</v>
      </c>
      <c r="B41" s="17" t="s">
        <v>700</v>
      </c>
      <c r="C41" s="20">
        <v>1</v>
      </c>
      <c r="D41" s="18">
        <v>99.5</v>
      </c>
      <c r="E41" s="20" t="s">
        <v>699</v>
      </c>
      <c r="F41" s="17" t="s">
        <v>51</v>
      </c>
      <c r="G41" s="19" t="s">
        <v>698</v>
      </c>
      <c r="H41" s="18">
        <v>21.893333333333334</v>
      </c>
      <c r="I41" s="17" t="s">
        <v>654</v>
      </c>
      <c r="J41" s="17"/>
      <c r="K41" s="16" t="str">
        <f>HYPERLINK("http://slimages.macys.com/is/image/MCY/19975111 ")</f>
        <v xml:space="preserve">http://slimages.macys.com/is/image/MCY/19975111 </v>
      </c>
      <c r="L41" s="30"/>
    </row>
    <row r="42" spans="1:12" ht="60" x14ac:dyDescent="0.25">
      <c r="A42" s="19" t="s">
        <v>697</v>
      </c>
      <c r="B42" s="17" t="s">
        <v>696</v>
      </c>
      <c r="C42" s="20">
        <v>1</v>
      </c>
      <c r="D42" s="18">
        <v>98</v>
      </c>
      <c r="E42" s="20" t="s">
        <v>695</v>
      </c>
      <c r="F42" s="17" t="s">
        <v>58</v>
      </c>
      <c r="G42" s="19" t="s">
        <v>694</v>
      </c>
      <c r="H42" s="18">
        <v>21.626666666666669</v>
      </c>
      <c r="I42" s="17" t="s">
        <v>49</v>
      </c>
      <c r="J42" s="17"/>
      <c r="K42" s="16" t="str">
        <f>HYPERLINK("http://slimages.macys.com/is/image/MCY/18983370 ")</f>
        <v xml:space="preserve">http://slimages.macys.com/is/image/MCY/18983370 </v>
      </c>
      <c r="L42" s="30"/>
    </row>
    <row r="43" spans="1:12" ht="60" x14ac:dyDescent="0.25">
      <c r="A43" s="19" t="s">
        <v>693</v>
      </c>
      <c r="B43" s="17" t="s">
        <v>692</v>
      </c>
      <c r="C43" s="20">
        <v>1</v>
      </c>
      <c r="D43" s="18">
        <v>98</v>
      </c>
      <c r="E43" s="20" t="s">
        <v>691</v>
      </c>
      <c r="F43" s="17" t="s">
        <v>345</v>
      </c>
      <c r="G43" s="19"/>
      <c r="H43" s="18">
        <v>21.626666666666669</v>
      </c>
      <c r="I43" s="17" t="s">
        <v>49</v>
      </c>
      <c r="J43" s="17"/>
      <c r="K43" s="16" t="str">
        <f>HYPERLINK("http://slimages.macys.com/is/image/MCY/19379962 ")</f>
        <v xml:space="preserve">http://slimages.macys.com/is/image/MCY/19379962 </v>
      </c>
      <c r="L43" s="30"/>
    </row>
    <row r="44" spans="1:12" ht="60" x14ac:dyDescent="0.25">
      <c r="A44" s="19" t="s">
        <v>690</v>
      </c>
      <c r="B44" s="17" t="s">
        <v>689</v>
      </c>
      <c r="C44" s="20">
        <v>1</v>
      </c>
      <c r="D44" s="18">
        <v>98</v>
      </c>
      <c r="E44" s="20" t="s">
        <v>688</v>
      </c>
      <c r="F44" s="17"/>
      <c r="G44" s="19"/>
      <c r="H44" s="18">
        <v>21.626666666666669</v>
      </c>
      <c r="I44" s="17" t="s">
        <v>49</v>
      </c>
      <c r="J44" s="17"/>
      <c r="K44" s="16" t="str">
        <f>HYPERLINK("http://slimages.macys.com/is/image/MCY/18990443 ")</f>
        <v xml:space="preserve">http://slimages.macys.com/is/image/MCY/18990443 </v>
      </c>
      <c r="L44" s="30"/>
    </row>
    <row r="45" spans="1:12" ht="60" x14ac:dyDescent="0.25">
      <c r="A45" s="19" t="s">
        <v>687</v>
      </c>
      <c r="B45" s="17" t="s">
        <v>686</v>
      </c>
      <c r="C45" s="20">
        <v>1</v>
      </c>
      <c r="D45" s="18">
        <v>98</v>
      </c>
      <c r="E45" s="20" t="s">
        <v>685</v>
      </c>
      <c r="F45" s="17" t="s">
        <v>63</v>
      </c>
      <c r="G45" s="19"/>
      <c r="H45" s="18">
        <v>21.626666666666669</v>
      </c>
      <c r="I45" s="17" t="s">
        <v>49</v>
      </c>
      <c r="J45" s="17"/>
      <c r="K45" s="16" t="str">
        <f>HYPERLINK("http://slimages.macys.com/is/image/MCY/19634672 ")</f>
        <v xml:space="preserve">http://slimages.macys.com/is/image/MCY/19634672 </v>
      </c>
      <c r="L45" s="30"/>
    </row>
    <row r="46" spans="1:12" ht="96" x14ac:dyDescent="0.25">
      <c r="A46" s="19" t="s">
        <v>684</v>
      </c>
      <c r="B46" s="17" t="s">
        <v>683</v>
      </c>
      <c r="C46" s="20">
        <v>1</v>
      </c>
      <c r="D46" s="18">
        <v>129</v>
      </c>
      <c r="E46" s="20" t="s">
        <v>679</v>
      </c>
      <c r="F46" s="17" t="s">
        <v>51</v>
      </c>
      <c r="G46" s="19" t="s">
        <v>682</v>
      </c>
      <c r="H46" s="18">
        <v>21.5</v>
      </c>
      <c r="I46" s="17" t="s">
        <v>678</v>
      </c>
      <c r="J46" s="17" t="s">
        <v>668</v>
      </c>
      <c r="K46" s="16" t="str">
        <f>HYPERLINK("http://slimages.macys.com/is/image/MCY/19377139 ")</f>
        <v xml:space="preserve">http://slimages.macys.com/is/image/MCY/19377139 </v>
      </c>
      <c r="L46" s="30"/>
    </row>
    <row r="47" spans="1:12" ht="96" x14ac:dyDescent="0.25">
      <c r="A47" s="19" t="s">
        <v>681</v>
      </c>
      <c r="B47" s="17" t="s">
        <v>680</v>
      </c>
      <c r="C47" s="20">
        <v>1</v>
      </c>
      <c r="D47" s="18">
        <v>129</v>
      </c>
      <c r="E47" s="20" t="s">
        <v>679</v>
      </c>
      <c r="F47" s="17" t="s">
        <v>51</v>
      </c>
      <c r="G47" s="19" t="s">
        <v>96</v>
      </c>
      <c r="H47" s="18">
        <v>21.5</v>
      </c>
      <c r="I47" s="17" t="s">
        <v>678</v>
      </c>
      <c r="J47" s="17" t="s">
        <v>668</v>
      </c>
      <c r="K47" s="16" t="str">
        <f>HYPERLINK("http://slimages.macys.com/is/image/MCY/19377139 ")</f>
        <v xml:space="preserve">http://slimages.macys.com/is/image/MCY/19377139 </v>
      </c>
      <c r="L47" s="30"/>
    </row>
    <row r="48" spans="1:12" ht="60" x14ac:dyDescent="0.25">
      <c r="A48" s="19" t="s">
        <v>677</v>
      </c>
      <c r="B48" s="17" t="s">
        <v>676</v>
      </c>
      <c r="C48" s="20">
        <v>1</v>
      </c>
      <c r="D48" s="18">
        <v>115</v>
      </c>
      <c r="E48" s="20" t="s">
        <v>675</v>
      </c>
      <c r="F48" s="17" t="s">
        <v>51</v>
      </c>
      <c r="G48" s="19" t="s">
        <v>69</v>
      </c>
      <c r="H48" s="18">
        <v>21.240000000000002</v>
      </c>
      <c r="I48" s="17" t="s">
        <v>405</v>
      </c>
      <c r="J48" s="17"/>
      <c r="K48" s="16" t="str">
        <f>HYPERLINK("http://slimages.macys.com/is/image/MCY/19527052 ")</f>
        <v xml:space="preserve">http://slimages.macys.com/is/image/MCY/19527052 </v>
      </c>
      <c r="L48" s="30"/>
    </row>
    <row r="49" spans="1:12" ht="60" x14ac:dyDescent="0.25">
      <c r="A49" s="19" t="s">
        <v>674</v>
      </c>
      <c r="B49" s="17" t="s">
        <v>673</v>
      </c>
      <c r="C49" s="20">
        <v>1</v>
      </c>
      <c r="D49" s="18">
        <v>99</v>
      </c>
      <c r="E49" s="20">
        <v>7051013</v>
      </c>
      <c r="F49" s="17" t="s">
        <v>216</v>
      </c>
      <c r="G49" s="19" t="s">
        <v>101</v>
      </c>
      <c r="H49" s="18">
        <v>21.12</v>
      </c>
      <c r="I49" s="17" t="s">
        <v>111</v>
      </c>
      <c r="J49" s="17"/>
      <c r="K49" s="16" t="str">
        <f>HYPERLINK("http://slimages.macys.com/is/image/MCY/19586853 ")</f>
        <v xml:space="preserve">http://slimages.macys.com/is/image/MCY/19586853 </v>
      </c>
      <c r="L49" s="30"/>
    </row>
    <row r="50" spans="1:12" ht="96" x14ac:dyDescent="0.25">
      <c r="A50" s="19" t="s">
        <v>672</v>
      </c>
      <c r="B50" s="17" t="s">
        <v>671</v>
      </c>
      <c r="C50" s="20">
        <v>1</v>
      </c>
      <c r="D50" s="18">
        <v>89.98</v>
      </c>
      <c r="E50" s="20" t="s">
        <v>670</v>
      </c>
      <c r="F50" s="17" t="s">
        <v>28</v>
      </c>
      <c r="G50" s="19" t="s">
        <v>669</v>
      </c>
      <c r="H50" s="18">
        <v>20.993333333333336</v>
      </c>
      <c r="I50" s="17" t="s">
        <v>33</v>
      </c>
      <c r="J50" s="17" t="s">
        <v>668</v>
      </c>
      <c r="K50" s="16" t="str">
        <f>HYPERLINK("http://slimages.macys.com/is/image/MCY/11137226 ")</f>
        <v xml:space="preserve">http://slimages.macys.com/is/image/MCY/11137226 </v>
      </c>
      <c r="L50" s="30"/>
    </row>
    <row r="51" spans="1:12" ht="60" x14ac:dyDescent="0.25">
      <c r="A51" s="19" t="s">
        <v>667</v>
      </c>
      <c r="B51" s="17" t="s">
        <v>666</v>
      </c>
      <c r="C51" s="20">
        <v>2</v>
      </c>
      <c r="D51" s="18">
        <v>98</v>
      </c>
      <c r="E51" s="20" t="s">
        <v>665</v>
      </c>
      <c r="F51" s="17" t="s">
        <v>345</v>
      </c>
      <c r="G51" s="19" t="s">
        <v>50</v>
      </c>
      <c r="H51" s="18">
        <v>20.92</v>
      </c>
      <c r="I51" s="17" t="s">
        <v>49</v>
      </c>
      <c r="J51" s="17"/>
      <c r="K51" s="16" t="str">
        <f>HYPERLINK("http://slimages.macys.com/is/image/MCY/18535275 ")</f>
        <v xml:space="preserve">http://slimages.macys.com/is/image/MCY/18535275 </v>
      </c>
      <c r="L51" s="30"/>
    </row>
    <row r="52" spans="1:12" ht="60" x14ac:dyDescent="0.25">
      <c r="A52" s="19" t="s">
        <v>664</v>
      </c>
      <c r="B52" s="17" t="s">
        <v>663</v>
      </c>
      <c r="C52" s="20">
        <v>1</v>
      </c>
      <c r="D52" s="18">
        <v>99</v>
      </c>
      <c r="E52" s="20">
        <v>10766984</v>
      </c>
      <c r="F52" s="17" t="s">
        <v>51</v>
      </c>
      <c r="G52" s="19" t="s">
        <v>69</v>
      </c>
      <c r="H52" s="18">
        <v>20.46</v>
      </c>
      <c r="I52" s="17" t="s">
        <v>120</v>
      </c>
      <c r="J52" s="17" t="s">
        <v>662</v>
      </c>
      <c r="K52" s="16" t="str">
        <f>HYPERLINK("http://slimages.macys.com/is/image/MCY/16611030 ")</f>
        <v xml:space="preserve">http://slimages.macys.com/is/image/MCY/16611030 </v>
      </c>
      <c r="L52" s="30"/>
    </row>
    <row r="53" spans="1:12" ht="60" x14ac:dyDescent="0.25">
      <c r="A53" s="19" t="s">
        <v>661</v>
      </c>
      <c r="B53" s="17" t="s">
        <v>660</v>
      </c>
      <c r="C53" s="20">
        <v>1</v>
      </c>
      <c r="D53" s="18">
        <v>99.5</v>
      </c>
      <c r="E53" s="20" t="s">
        <v>659</v>
      </c>
      <c r="F53" s="17" t="s">
        <v>51</v>
      </c>
      <c r="G53" s="19" t="s">
        <v>658</v>
      </c>
      <c r="H53" s="18">
        <v>20.046666666666667</v>
      </c>
      <c r="I53" s="17" t="s">
        <v>106</v>
      </c>
      <c r="J53" s="17"/>
      <c r="K53" s="16" t="str">
        <f>HYPERLINK("http://slimages.macys.com/is/image/MCY/20110445 ")</f>
        <v xml:space="preserve">http://slimages.macys.com/is/image/MCY/20110445 </v>
      </c>
      <c r="L53" s="30"/>
    </row>
    <row r="54" spans="1:12" ht="60" x14ac:dyDescent="0.25">
      <c r="A54" s="19" t="s">
        <v>657</v>
      </c>
      <c r="B54" s="17" t="s">
        <v>656</v>
      </c>
      <c r="C54" s="20">
        <v>1</v>
      </c>
      <c r="D54" s="18">
        <v>89.5</v>
      </c>
      <c r="E54" s="20" t="s">
        <v>655</v>
      </c>
      <c r="F54" s="17" t="s">
        <v>23</v>
      </c>
      <c r="G54" s="19" t="s">
        <v>57</v>
      </c>
      <c r="H54" s="18">
        <v>19.693333333333335</v>
      </c>
      <c r="I54" s="17" t="s">
        <v>654</v>
      </c>
      <c r="J54" s="17"/>
      <c r="K54" s="16" t="str">
        <f>HYPERLINK("http://slimages.macys.com/is/image/MCY/19677132 ")</f>
        <v xml:space="preserve">http://slimages.macys.com/is/image/MCY/19677132 </v>
      </c>
      <c r="L54" s="30"/>
    </row>
    <row r="55" spans="1:12" ht="60" x14ac:dyDescent="0.25">
      <c r="A55" s="19" t="s">
        <v>652</v>
      </c>
      <c r="B55" s="17" t="s">
        <v>651</v>
      </c>
      <c r="C55" s="20">
        <v>1</v>
      </c>
      <c r="D55" s="18">
        <v>89</v>
      </c>
      <c r="E55" s="20" t="s">
        <v>650</v>
      </c>
      <c r="F55" s="17" t="s">
        <v>23</v>
      </c>
      <c r="G55" s="19" t="s">
        <v>50</v>
      </c>
      <c r="H55" s="18">
        <v>19.64</v>
      </c>
      <c r="I55" s="17" t="s">
        <v>49</v>
      </c>
      <c r="J55" s="17"/>
      <c r="K55" s="16" t="str">
        <f>HYPERLINK("http://slimages.macys.com/is/image/MCY/19476842 ")</f>
        <v xml:space="preserve">http://slimages.macys.com/is/image/MCY/19476842 </v>
      </c>
      <c r="L55" s="30"/>
    </row>
    <row r="56" spans="1:12" ht="60" x14ac:dyDescent="0.25">
      <c r="A56" s="19" t="s">
        <v>649</v>
      </c>
      <c r="B56" s="17" t="s">
        <v>648</v>
      </c>
      <c r="C56" s="20">
        <v>1</v>
      </c>
      <c r="D56" s="18">
        <v>89</v>
      </c>
      <c r="E56" s="20" t="s">
        <v>647</v>
      </c>
      <c r="F56" s="17"/>
      <c r="G56" s="19"/>
      <c r="H56" s="18">
        <v>19.64</v>
      </c>
      <c r="I56" s="17" t="s">
        <v>49</v>
      </c>
      <c r="J56" s="17"/>
      <c r="K56" s="16" t="str">
        <f>HYPERLINK("http://slimages.macys.com/is/image/MCY/19634688 ")</f>
        <v xml:space="preserve">http://slimages.macys.com/is/image/MCY/19634688 </v>
      </c>
      <c r="L56" s="30"/>
    </row>
    <row r="57" spans="1:12" ht="60" x14ac:dyDescent="0.25">
      <c r="A57" s="19" t="s">
        <v>646</v>
      </c>
      <c r="B57" s="17" t="s">
        <v>645</v>
      </c>
      <c r="C57" s="20">
        <v>1</v>
      </c>
      <c r="D57" s="18">
        <v>66.75</v>
      </c>
      <c r="E57" s="20">
        <v>10785493</v>
      </c>
      <c r="F57" s="17" t="s">
        <v>544</v>
      </c>
      <c r="G57" s="19" t="s">
        <v>644</v>
      </c>
      <c r="H57" s="18">
        <v>18.693333333333332</v>
      </c>
      <c r="I57" s="17" t="s">
        <v>33</v>
      </c>
      <c r="J57" s="17"/>
      <c r="K57" s="16" t="str">
        <f>HYPERLINK("http://slimages.macys.com/is/image/MCY/17839773 ")</f>
        <v xml:space="preserve">http://slimages.macys.com/is/image/MCY/17839773 </v>
      </c>
      <c r="L57" s="30"/>
    </row>
    <row r="58" spans="1:12" ht="60" x14ac:dyDescent="0.25">
      <c r="A58" s="19" t="s">
        <v>643</v>
      </c>
      <c r="B58" s="17" t="s">
        <v>642</v>
      </c>
      <c r="C58" s="20">
        <v>1</v>
      </c>
      <c r="D58" s="18">
        <v>99.5</v>
      </c>
      <c r="E58" s="20">
        <v>10833696</v>
      </c>
      <c r="F58" s="17" t="s">
        <v>35</v>
      </c>
      <c r="G58" s="19" t="s">
        <v>74</v>
      </c>
      <c r="H58" s="18">
        <v>18.573333333333334</v>
      </c>
      <c r="I58" s="17" t="s">
        <v>481</v>
      </c>
      <c r="J58" s="17"/>
      <c r="K58" s="16" t="str">
        <f>HYPERLINK("http://slimages.macys.com/is/image/MCY/21169080 ")</f>
        <v xml:space="preserve">http://slimages.macys.com/is/image/MCY/21169080 </v>
      </c>
      <c r="L58" s="30"/>
    </row>
    <row r="59" spans="1:12" ht="120" x14ac:dyDescent="0.25">
      <c r="A59" s="19" t="s">
        <v>640</v>
      </c>
      <c r="B59" s="17" t="s">
        <v>639</v>
      </c>
      <c r="C59" s="20">
        <v>2</v>
      </c>
      <c r="D59" s="18">
        <v>99</v>
      </c>
      <c r="E59" s="20" t="s">
        <v>638</v>
      </c>
      <c r="F59" s="17" t="s">
        <v>544</v>
      </c>
      <c r="G59" s="19" t="s">
        <v>74</v>
      </c>
      <c r="H59" s="18">
        <v>18.28</v>
      </c>
      <c r="I59" s="17" t="s">
        <v>405</v>
      </c>
      <c r="J59" s="17" t="s">
        <v>636</v>
      </c>
      <c r="K59" s="16" t="str">
        <f>HYPERLINK("http://images.bloomingdales.com/is/image/BLM/11727987 ")</f>
        <v xml:space="preserve">http://images.bloomingdales.com/is/image/BLM/11727987 </v>
      </c>
      <c r="L59" s="30"/>
    </row>
    <row r="60" spans="1:12" ht="60" x14ac:dyDescent="0.25">
      <c r="A60" s="19" t="s">
        <v>635</v>
      </c>
      <c r="B60" s="17" t="s">
        <v>634</v>
      </c>
      <c r="C60" s="20">
        <v>1</v>
      </c>
      <c r="D60" s="18">
        <v>99</v>
      </c>
      <c r="E60" s="20" t="s">
        <v>633</v>
      </c>
      <c r="F60" s="17" t="s">
        <v>23</v>
      </c>
      <c r="G60" s="19" t="s">
        <v>62</v>
      </c>
      <c r="H60" s="18">
        <v>18.28</v>
      </c>
      <c r="I60" s="17" t="s">
        <v>405</v>
      </c>
      <c r="J60" s="17"/>
      <c r="K60" s="16" t="str">
        <f>HYPERLINK("http://slimages.macys.com/is/image/MCY/18223895 ")</f>
        <v xml:space="preserve">http://slimages.macys.com/is/image/MCY/18223895 </v>
      </c>
      <c r="L60" s="30"/>
    </row>
    <row r="61" spans="1:12" ht="60" x14ac:dyDescent="0.25">
      <c r="A61" s="19" t="s">
        <v>632</v>
      </c>
      <c r="B61" s="17" t="s">
        <v>631</v>
      </c>
      <c r="C61" s="20">
        <v>1</v>
      </c>
      <c r="D61" s="18">
        <v>109</v>
      </c>
      <c r="E61" s="20" t="s">
        <v>630</v>
      </c>
      <c r="F61" s="17" t="s">
        <v>508</v>
      </c>
      <c r="G61" s="19" t="s">
        <v>62</v>
      </c>
      <c r="H61" s="18">
        <v>18.166666666666668</v>
      </c>
      <c r="I61" s="17" t="s">
        <v>129</v>
      </c>
      <c r="J61" s="17"/>
      <c r="K61" s="16" t="str">
        <f>HYPERLINK("http://slimages.macys.com/is/image/MCY/19114736 ")</f>
        <v xml:space="preserve">http://slimages.macys.com/is/image/MCY/19114736 </v>
      </c>
      <c r="L61" s="30"/>
    </row>
    <row r="62" spans="1:12" ht="60" x14ac:dyDescent="0.25">
      <c r="A62" s="19" t="s">
        <v>629</v>
      </c>
      <c r="B62" s="17" t="s">
        <v>628</v>
      </c>
      <c r="C62" s="20">
        <v>1</v>
      </c>
      <c r="D62" s="18">
        <v>89.5</v>
      </c>
      <c r="E62" s="20" t="s">
        <v>620</v>
      </c>
      <c r="F62" s="17" t="s">
        <v>623</v>
      </c>
      <c r="G62" s="19" t="s">
        <v>74</v>
      </c>
      <c r="H62" s="18">
        <v>18.033333333333335</v>
      </c>
      <c r="I62" s="17" t="s">
        <v>106</v>
      </c>
      <c r="J62" s="17"/>
      <c r="K62" s="16" t="str">
        <f>HYPERLINK("http://slimages.macys.com/is/image/MCY/20478429 ")</f>
        <v xml:space="preserve">http://slimages.macys.com/is/image/MCY/20478429 </v>
      </c>
      <c r="L62" s="30"/>
    </row>
    <row r="63" spans="1:12" ht="60" x14ac:dyDescent="0.25">
      <c r="A63" s="19" t="s">
        <v>627</v>
      </c>
      <c r="B63" s="17" t="s">
        <v>626</v>
      </c>
      <c r="C63" s="20">
        <v>2</v>
      </c>
      <c r="D63" s="18">
        <v>89.5</v>
      </c>
      <c r="E63" s="20" t="s">
        <v>620</v>
      </c>
      <c r="F63" s="17" t="s">
        <v>623</v>
      </c>
      <c r="G63" s="19" t="s">
        <v>69</v>
      </c>
      <c r="H63" s="18">
        <v>18.033333333333335</v>
      </c>
      <c r="I63" s="17" t="s">
        <v>106</v>
      </c>
      <c r="J63" s="17"/>
      <c r="K63" s="16" t="str">
        <f>HYPERLINK("http://slimages.macys.com/is/image/MCY/20478429 ")</f>
        <v xml:space="preserve">http://slimages.macys.com/is/image/MCY/20478429 </v>
      </c>
      <c r="L63" s="30"/>
    </row>
    <row r="64" spans="1:12" ht="60" x14ac:dyDescent="0.25">
      <c r="A64" s="19" t="s">
        <v>625</v>
      </c>
      <c r="B64" s="17" t="s">
        <v>624</v>
      </c>
      <c r="C64" s="20">
        <v>1</v>
      </c>
      <c r="D64" s="18">
        <v>89.5</v>
      </c>
      <c r="E64" s="20" t="s">
        <v>620</v>
      </c>
      <c r="F64" s="17" t="s">
        <v>623</v>
      </c>
      <c r="G64" s="19" t="s">
        <v>197</v>
      </c>
      <c r="H64" s="18">
        <v>18.033333333333335</v>
      </c>
      <c r="I64" s="17" t="s">
        <v>106</v>
      </c>
      <c r="J64" s="17"/>
      <c r="K64" s="16" t="str">
        <f>HYPERLINK("http://slimages.macys.com/is/image/MCY/20478429 ")</f>
        <v xml:space="preserve">http://slimages.macys.com/is/image/MCY/20478429 </v>
      </c>
      <c r="L64" s="30"/>
    </row>
    <row r="65" spans="1:12" ht="60" x14ac:dyDescent="0.25">
      <c r="A65" s="19" t="s">
        <v>622</v>
      </c>
      <c r="B65" s="17" t="s">
        <v>621</v>
      </c>
      <c r="C65" s="20">
        <v>1</v>
      </c>
      <c r="D65" s="18">
        <v>89.5</v>
      </c>
      <c r="E65" s="20" t="s">
        <v>620</v>
      </c>
      <c r="F65" s="17" t="s">
        <v>51</v>
      </c>
      <c r="G65" s="19" t="s">
        <v>74</v>
      </c>
      <c r="H65" s="18">
        <v>18.033333333333335</v>
      </c>
      <c r="I65" s="17" t="s">
        <v>106</v>
      </c>
      <c r="J65" s="17"/>
      <c r="K65" s="16" t="str">
        <f>HYPERLINK("http://slimages.macys.com/is/image/MCY/20478429 ")</f>
        <v xml:space="preserve">http://slimages.macys.com/is/image/MCY/20478429 </v>
      </c>
      <c r="L65" s="30"/>
    </row>
    <row r="66" spans="1:12" ht="60" x14ac:dyDescent="0.25">
      <c r="A66" s="19" t="s">
        <v>619</v>
      </c>
      <c r="B66" s="17" t="s">
        <v>618</v>
      </c>
      <c r="C66" s="20">
        <v>1</v>
      </c>
      <c r="D66" s="18">
        <v>89.5</v>
      </c>
      <c r="E66" s="20" t="s">
        <v>617</v>
      </c>
      <c r="F66" s="17" t="s">
        <v>91</v>
      </c>
      <c r="G66" s="19" t="s">
        <v>69</v>
      </c>
      <c r="H66" s="18">
        <v>18.033333333333335</v>
      </c>
      <c r="I66" s="17" t="s">
        <v>106</v>
      </c>
      <c r="J66" s="17"/>
      <c r="K66" s="16" t="str">
        <f>HYPERLINK("http://slimages.macys.com/is/image/MCY/20485680 ")</f>
        <v xml:space="preserve">http://slimages.macys.com/is/image/MCY/20485680 </v>
      </c>
      <c r="L66" s="30"/>
    </row>
    <row r="67" spans="1:12" ht="60" x14ac:dyDescent="0.25">
      <c r="A67" s="19" t="s">
        <v>616</v>
      </c>
      <c r="B67" s="17" t="s">
        <v>615</v>
      </c>
      <c r="C67" s="20">
        <v>1</v>
      </c>
      <c r="D67" s="18">
        <v>89.5</v>
      </c>
      <c r="E67" s="20" t="s">
        <v>614</v>
      </c>
      <c r="F67" s="17" t="s">
        <v>91</v>
      </c>
      <c r="G67" s="19" t="s">
        <v>69</v>
      </c>
      <c r="H67" s="18">
        <v>18.033333333333335</v>
      </c>
      <c r="I67" s="17" t="s">
        <v>106</v>
      </c>
      <c r="J67" s="17"/>
      <c r="K67" s="16" t="str">
        <f>HYPERLINK("http://slimages.macys.com/is/image/MCY/20478419 ")</f>
        <v xml:space="preserve">http://slimages.macys.com/is/image/MCY/20478419 </v>
      </c>
      <c r="L67" s="30"/>
    </row>
    <row r="68" spans="1:12" ht="60" x14ac:dyDescent="0.25">
      <c r="A68" s="19" t="s">
        <v>613</v>
      </c>
      <c r="B68" s="17" t="s">
        <v>612</v>
      </c>
      <c r="C68" s="20">
        <v>1</v>
      </c>
      <c r="D68" s="18">
        <v>89.5</v>
      </c>
      <c r="E68" s="20" t="s">
        <v>611</v>
      </c>
      <c r="F68" s="17" t="s">
        <v>237</v>
      </c>
      <c r="G68" s="19" t="s">
        <v>74</v>
      </c>
      <c r="H68" s="18">
        <v>18.033333333333335</v>
      </c>
      <c r="I68" s="17" t="s">
        <v>106</v>
      </c>
      <c r="J68" s="17"/>
      <c r="K68" s="16" t="str">
        <f>HYPERLINK("http://slimages.macys.com/is/image/MCY/20387477 ")</f>
        <v xml:space="preserve">http://slimages.macys.com/is/image/MCY/20387477 </v>
      </c>
      <c r="L68" s="30"/>
    </row>
    <row r="69" spans="1:12" ht="60" x14ac:dyDescent="0.25">
      <c r="A69" s="19" t="s">
        <v>610</v>
      </c>
      <c r="B69" s="17" t="s">
        <v>609</v>
      </c>
      <c r="C69" s="20">
        <v>7</v>
      </c>
      <c r="D69" s="18">
        <v>79</v>
      </c>
      <c r="E69" s="20" t="s">
        <v>604</v>
      </c>
      <c r="F69" s="17" t="s">
        <v>58</v>
      </c>
      <c r="G69" s="19" t="s">
        <v>17</v>
      </c>
      <c r="H69" s="18">
        <v>17.693333333333335</v>
      </c>
      <c r="I69" s="17" t="s">
        <v>49</v>
      </c>
      <c r="J69" s="17"/>
      <c r="K69" s="16" t="str">
        <f>HYPERLINK("http://slimages.macys.com/is/image/MCY/19737119 ")</f>
        <v xml:space="preserve">http://slimages.macys.com/is/image/MCY/19737119 </v>
      </c>
      <c r="L69" s="30"/>
    </row>
    <row r="70" spans="1:12" ht="60" x14ac:dyDescent="0.25">
      <c r="A70" s="19" t="s">
        <v>608</v>
      </c>
      <c r="B70" s="17" t="s">
        <v>607</v>
      </c>
      <c r="C70" s="20">
        <v>4</v>
      </c>
      <c r="D70" s="18">
        <v>79</v>
      </c>
      <c r="E70" s="20" t="s">
        <v>604</v>
      </c>
      <c r="F70" s="17" t="s">
        <v>58</v>
      </c>
      <c r="G70" s="19" t="s">
        <v>22</v>
      </c>
      <c r="H70" s="18">
        <v>17.693333333333335</v>
      </c>
      <c r="I70" s="17" t="s">
        <v>49</v>
      </c>
      <c r="J70" s="17"/>
      <c r="K70" s="16" t="str">
        <f>HYPERLINK("http://slimages.macys.com/is/image/MCY/19737119 ")</f>
        <v xml:space="preserve">http://slimages.macys.com/is/image/MCY/19737119 </v>
      </c>
      <c r="L70" s="30"/>
    </row>
    <row r="71" spans="1:12" ht="60" x14ac:dyDescent="0.25">
      <c r="A71" s="19" t="s">
        <v>606</v>
      </c>
      <c r="B71" s="17" t="s">
        <v>605</v>
      </c>
      <c r="C71" s="20">
        <v>3</v>
      </c>
      <c r="D71" s="18">
        <v>79</v>
      </c>
      <c r="E71" s="20" t="s">
        <v>604</v>
      </c>
      <c r="F71" s="17" t="s">
        <v>58</v>
      </c>
      <c r="G71" s="19" t="s">
        <v>101</v>
      </c>
      <c r="H71" s="18">
        <v>17.693333333333335</v>
      </c>
      <c r="I71" s="17" t="s">
        <v>49</v>
      </c>
      <c r="J71" s="17"/>
      <c r="K71" s="16" t="str">
        <f>HYPERLINK("http://slimages.macys.com/is/image/MCY/19737119 ")</f>
        <v xml:space="preserve">http://slimages.macys.com/is/image/MCY/19737119 </v>
      </c>
      <c r="L71" s="30"/>
    </row>
    <row r="72" spans="1:12" ht="60" x14ac:dyDescent="0.25">
      <c r="A72" s="19" t="s">
        <v>603</v>
      </c>
      <c r="B72" s="17" t="s">
        <v>602</v>
      </c>
      <c r="C72" s="20">
        <v>1</v>
      </c>
      <c r="D72" s="18">
        <v>79</v>
      </c>
      <c r="E72" s="20" t="s">
        <v>601</v>
      </c>
      <c r="F72" s="17" t="s">
        <v>23</v>
      </c>
      <c r="G72" s="19"/>
      <c r="H72" s="18">
        <v>17.433333333333337</v>
      </c>
      <c r="I72" s="17" t="s">
        <v>49</v>
      </c>
      <c r="J72" s="17"/>
      <c r="K72" s="16" t="str">
        <f>HYPERLINK("http://slimages.macys.com/is/image/MCY/19347618 ")</f>
        <v xml:space="preserve">http://slimages.macys.com/is/image/MCY/19347618 </v>
      </c>
      <c r="L72" s="30"/>
    </row>
    <row r="73" spans="1:12" ht="60" x14ac:dyDescent="0.25">
      <c r="A73" s="19" t="s">
        <v>600</v>
      </c>
      <c r="B73" s="17" t="s">
        <v>599</v>
      </c>
      <c r="C73" s="20">
        <v>1</v>
      </c>
      <c r="D73" s="18">
        <v>79</v>
      </c>
      <c r="E73" s="20" t="s">
        <v>598</v>
      </c>
      <c r="F73" s="17" t="s">
        <v>70</v>
      </c>
      <c r="G73" s="19" t="s">
        <v>17</v>
      </c>
      <c r="H73" s="18">
        <v>17.433333333333337</v>
      </c>
      <c r="I73" s="17" t="s">
        <v>49</v>
      </c>
      <c r="J73" s="17"/>
      <c r="K73" s="16" t="str">
        <f>HYPERLINK("http://slimages.macys.com/is/image/MCY/18098017 ")</f>
        <v xml:space="preserve">http://slimages.macys.com/is/image/MCY/18098017 </v>
      </c>
      <c r="L73" s="30"/>
    </row>
    <row r="74" spans="1:12" ht="60" x14ac:dyDescent="0.25">
      <c r="A74" s="19" t="s">
        <v>597</v>
      </c>
      <c r="B74" s="17" t="s">
        <v>596</v>
      </c>
      <c r="C74" s="20">
        <v>2</v>
      </c>
      <c r="D74" s="18">
        <v>79</v>
      </c>
      <c r="E74" s="20" t="s">
        <v>595</v>
      </c>
      <c r="F74" s="17" t="s">
        <v>91</v>
      </c>
      <c r="G74" s="19" t="s">
        <v>22</v>
      </c>
      <c r="H74" s="18">
        <v>17.433333333333337</v>
      </c>
      <c r="I74" s="17" t="s">
        <v>49</v>
      </c>
      <c r="J74" s="17"/>
      <c r="K74" s="16" t="str">
        <f>HYPERLINK("http://slimages.macys.com/is/image/MCY/18990389 ")</f>
        <v xml:space="preserve">http://slimages.macys.com/is/image/MCY/18990389 </v>
      </c>
      <c r="L74" s="30"/>
    </row>
    <row r="75" spans="1:12" ht="60" x14ac:dyDescent="0.25">
      <c r="A75" s="19" t="s">
        <v>594</v>
      </c>
      <c r="B75" s="17" t="s">
        <v>593</v>
      </c>
      <c r="C75" s="20">
        <v>1</v>
      </c>
      <c r="D75" s="18">
        <v>89</v>
      </c>
      <c r="E75" s="20">
        <v>10809900</v>
      </c>
      <c r="F75" s="17" t="s">
        <v>555</v>
      </c>
      <c r="G75" s="19" t="s">
        <v>197</v>
      </c>
      <c r="H75" s="18">
        <v>16.900000000000002</v>
      </c>
      <c r="I75" s="17" t="s">
        <v>120</v>
      </c>
      <c r="J75" s="17"/>
      <c r="K75" s="16" t="str">
        <f>HYPERLINK("http://slimages.macys.com/is/image/MCY/19804066 ")</f>
        <v xml:space="preserve">http://slimages.macys.com/is/image/MCY/19804066 </v>
      </c>
      <c r="L75" s="30"/>
    </row>
    <row r="76" spans="1:12" ht="60" x14ac:dyDescent="0.25">
      <c r="A76" s="19" t="s">
        <v>592</v>
      </c>
      <c r="B76" s="17" t="s">
        <v>591</v>
      </c>
      <c r="C76" s="20">
        <v>1</v>
      </c>
      <c r="D76" s="18">
        <v>79.5</v>
      </c>
      <c r="E76" s="20" t="s">
        <v>590</v>
      </c>
      <c r="F76" s="17" t="s">
        <v>51</v>
      </c>
      <c r="G76" s="19" t="s">
        <v>74</v>
      </c>
      <c r="H76" s="18">
        <v>16.833333333333332</v>
      </c>
      <c r="I76" s="17" t="s">
        <v>80</v>
      </c>
      <c r="J76" s="17"/>
      <c r="K76" s="16" t="str">
        <f>HYPERLINK("http://slimages.macys.com/is/image/MCY/18269800 ")</f>
        <v xml:space="preserve">http://slimages.macys.com/is/image/MCY/18269800 </v>
      </c>
      <c r="L76" s="30"/>
    </row>
    <row r="77" spans="1:12" ht="60" x14ac:dyDescent="0.25">
      <c r="A77" s="19" t="s">
        <v>589</v>
      </c>
      <c r="B77" s="17" t="s">
        <v>588</v>
      </c>
      <c r="C77" s="20">
        <v>1</v>
      </c>
      <c r="D77" s="18">
        <v>88</v>
      </c>
      <c r="E77" s="20" t="s">
        <v>585</v>
      </c>
      <c r="F77" s="17" t="s">
        <v>558</v>
      </c>
      <c r="G77" s="19" t="s">
        <v>69</v>
      </c>
      <c r="H77" s="18">
        <v>16.666666666666668</v>
      </c>
      <c r="I77" s="17" t="s">
        <v>133</v>
      </c>
      <c r="J77" s="17"/>
      <c r="K77" s="16" t="str">
        <f>HYPERLINK("http://slimages.macys.com/is/image/MCY/19919680 ")</f>
        <v xml:space="preserve">http://slimages.macys.com/is/image/MCY/19919680 </v>
      </c>
      <c r="L77" s="30"/>
    </row>
    <row r="78" spans="1:12" ht="60" x14ac:dyDescent="0.25">
      <c r="A78" s="19" t="s">
        <v>587</v>
      </c>
      <c r="B78" s="17" t="s">
        <v>586</v>
      </c>
      <c r="C78" s="20">
        <v>2</v>
      </c>
      <c r="D78" s="18">
        <v>88</v>
      </c>
      <c r="E78" s="20" t="s">
        <v>585</v>
      </c>
      <c r="F78" s="17" t="s">
        <v>558</v>
      </c>
      <c r="G78" s="19" t="s">
        <v>74</v>
      </c>
      <c r="H78" s="18">
        <v>16.666666666666668</v>
      </c>
      <c r="I78" s="17" t="s">
        <v>133</v>
      </c>
      <c r="J78" s="17"/>
      <c r="K78" s="16" t="str">
        <f>HYPERLINK("http://slimages.macys.com/is/image/MCY/19919680 ")</f>
        <v xml:space="preserve">http://slimages.macys.com/is/image/MCY/19919680 </v>
      </c>
      <c r="L78" s="30"/>
    </row>
    <row r="79" spans="1:12" ht="60" x14ac:dyDescent="0.25">
      <c r="A79" s="19" t="s">
        <v>583</v>
      </c>
      <c r="B79" s="17" t="s">
        <v>582</v>
      </c>
      <c r="C79" s="20">
        <v>1</v>
      </c>
      <c r="D79" s="18">
        <v>59.25</v>
      </c>
      <c r="E79" s="20">
        <v>10820822</v>
      </c>
      <c r="F79" s="17" t="s">
        <v>51</v>
      </c>
      <c r="G79" s="19" t="s">
        <v>351</v>
      </c>
      <c r="H79" s="18">
        <v>16.593333333333334</v>
      </c>
      <c r="I79" s="17" t="s">
        <v>358</v>
      </c>
      <c r="J79" s="17"/>
      <c r="K79" s="16" t="str">
        <f>HYPERLINK("http://slimages.macys.com/is/image/MCY/20073714 ")</f>
        <v xml:space="preserve">http://slimages.macys.com/is/image/MCY/20073714 </v>
      </c>
      <c r="L79" s="30"/>
    </row>
    <row r="80" spans="1:12" ht="60" x14ac:dyDescent="0.25">
      <c r="A80" s="19" t="s">
        <v>581</v>
      </c>
      <c r="B80" s="17" t="s">
        <v>580</v>
      </c>
      <c r="C80" s="20">
        <v>1</v>
      </c>
      <c r="D80" s="18">
        <v>99</v>
      </c>
      <c r="E80" s="20" t="s">
        <v>579</v>
      </c>
      <c r="F80" s="17" t="s">
        <v>578</v>
      </c>
      <c r="G80" s="19" t="s">
        <v>22</v>
      </c>
      <c r="H80" s="18">
        <v>16.5</v>
      </c>
      <c r="I80" s="17" t="s">
        <v>129</v>
      </c>
      <c r="J80" s="17"/>
      <c r="K80" s="16" t="str">
        <f>HYPERLINK("http://slimages.macys.com/is/image/MCY/19404675 ")</f>
        <v xml:space="preserve">http://slimages.macys.com/is/image/MCY/19404675 </v>
      </c>
      <c r="L80" s="30"/>
    </row>
    <row r="81" spans="1:12" ht="60" x14ac:dyDescent="0.25">
      <c r="A81" s="19" t="s">
        <v>577</v>
      </c>
      <c r="B81" s="17" t="s">
        <v>576</v>
      </c>
      <c r="C81" s="20">
        <v>1</v>
      </c>
      <c r="D81" s="18">
        <v>79</v>
      </c>
      <c r="E81" s="20">
        <v>10810892</v>
      </c>
      <c r="F81" s="17" t="s">
        <v>575</v>
      </c>
      <c r="G81" s="19" t="s">
        <v>62</v>
      </c>
      <c r="H81" s="18">
        <v>16.326666666666668</v>
      </c>
      <c r="I81" s="17" t="s">
        <v>144</v>
      </c>
      <c r="J81" s="17"/>
      <c r="K81" s="16" t="str">
        <f>HYPERLINK("http://slimages.macys.com/is/image/MCY/19432710 ")</f>
        <v xml:space="preserve">http://slimages.macys.com/is/image/MCY/19432710 </v>
      </c>
      <c r="L81" s="30"/>
    </row>
    <row r="82" spans="1:12" ht="60" x14ac:dyDescent="0.25">
      <c r="A82" s="19" t="s">
        <v>574</v>
      </c>
      <c r="B82" s="17" t="s">
        <v>573</v>
      </c>
      <c r="C82" s="20">
        <v>2</v>
      </c>
      <c r="D82" s="18">
        <v>79.5</v>
      </c>
      <c r="E82" s="20" t="s">
        <v>572</v>
      </c>
      <c r="F82" s="17" t="s">
        <v>51</v>
      </c>
      <c r="G82" s="19" t="s">
        <v>57</v>
      </c>
      <c r="H82" s="18">
        <v>16.013333333333335</v>
      </c>
      <c r="I82" s="17" t="s">
        <v>106</v>
      </c>
      <c r="J82" s="17"/>
      <c r="K82" s="16" t="str">
        <f>HYPERLINK("http://slimages.macys.com/is/image/MCY/18684176 ")</f>
        <v xml:space="preserve">http://slimages.macys.com/is/image/MCY/18684176 </v>
      </c>
      <c r="L82" s="30"/>
    </row>
    <row r="83" spans="1:12" ht="60" x14ac:dyDescent="0.25">
      <c r="A83" s="19" t="s">
        <v>571</v>
      </c>
      <c r="B83" s="17" t="s">
        <v>570</v>
      </c>
      <c r="C83" s="20">
        <v>1</v>
      </c>
      <c r="D83" s="18">
        <v>79.5</v>
      </c>
      <c r="E83" s="20" t="s">
        <v>569</v>
      </c>
      <c r="F83" s="17" t="s">
        <v>35</v>
      </c>
      <c r="G83" s="19" t="s">
        <v>197</v>
      </c>
      <c r="H83" s="18">
        <v>16.013333333333335</v>
      </c>
      <c r="I83" s="17" t="s">
        <v>106</v>
      </c>
      <c r="J83" s="17"/>
      <c r="K83" s="16" t="str">
        <f>HYPERLINK("http://slimages.macys.com/is/image/MCY/20075903 ")</f>
        <v xml:space="preserve">http://slimages.macys.com/is/image/MCY/20075903 </v>
      </c>
      <c r="L83" s="30"/>
    </row>
    <row r="84" spans="1:12" ht="60" x14ac:dyDescent="0.25">
      <c r="A84" s="19" t="s">
        <v>568</v>
      </c>
      <c r="B84" s="17" t="s">
        <v>567</v>
      </c>
      <c r="C84" s="20">
        <v>1</v>
      </c>
      <c r="D84" s="18">
        <v>79.5</v>
      </c>
      <c r="E84" s="20" t="s">
        <v>566</v>
      </c>
      <c r="F84" s="17" t="s">
        <v>51</v>
      </c>
      <c r="G84" s="19" t="s">
        <v>197</v>
      </c>
      <c r="H84" s="18">
        <v>16.013333333333335</v>
      </c>
      <c r="I84" s="17" t="s">
        <v>106</v>
      </c>
      <c r="J84" s="17"/>
      <c r="K84" s="16" t="str">
        <f>HYPERLINK("http://slimages.macys.com/is/image/MCY/20478771 ")</f>
        <v xml:space="preserve">http://slimages.macys.com/is/image/MCY/20478771 </v>
      </c>
      <c r="L84" s="30"/>
    </row>
    <row r="85" spans="1:12" ht="60" x14ac:dyDescent="0.25">
      <c r="A85" s="19" t="s">
        <v>565</v>
      </c>
      <c r="B85" s="17" t="s">
        <v>564</v>
      </c>
      <c r="C85" s="20">
        <v>1</v>
      </c>
      <c r="D85" s="18">
        <v>79.5</v>
      </c>
      <c r="E85" s="20" t="s">
        <v>563</v>
      </c>
      <c r="F85" s="17" t="s">
        <v>562</v>
      </c>
      <c r="G85" s="19" t="s">
        <v>69</v>
      </c>
      <c r="H85" s="18">
        <v>16.013333333333335</v>
      </c>
      <c r="I85" s="17" t="s">
        <v>106</v>
      </c>
      <c r="J85" s="17"/>
      <c r="K85" s="16" t="str">
        <f>HYPERLINK("http://slimages.macys.com/is/image/MCY/20076137 ")</f>
        <v xml:space="preserve">http://slimages.macys.com/is/image/MCY/20076137 </v>
      </c>
      <c r="L85" s="30"/>
    </row>
    <row r="86" spans="1:12" ht="60" x14ac:dyDescent="0.25">
      <c r="A86" s="19" t="s">
        <v>561</v>
      </c>
      <c r="B86" s="17" t="s">
        <v>560</v>
      </c>
      <c r="C86" s="20">
        <v>1</v>
      </c>
      <c r="D86" s="18">
        <v>75</v>
      </c>
      <c r="E86" s="20" t="s">
        <v>559</v>
      </c>
      <c r="F86" s="17" t="s">
        <v>558</v>
      </c>
      <c r="G86" s="19" t="s">
        <v>74</v>
      </c>
      <c r="H86" s="18">
        <v>16</v>
      </c>
      <c r="I86" s="17" t="s">
        <v>80</v>
      </c>
      <c r="J86" s="17"/>
      <c r="K86" s="16" t="str">
        <f>HYPERLINK("http://slimages.macys.com/is/image/MCY/18371419 ")</f>
        <v xml:space="preserve">http://slimages.macys.com/is/image/MCY/18371419 </v>
      </c>
      <c r="L86" s="30"/>
    </row>
    <row r="87" spans="1:12" ht="60" x14ac:dyDescent="0.25">
      <c r="A87" s="19" t="s">
        <v>557</v>
      </c>
      <c r="B87" s="17" t="s">
        <v>556</v>
      </c>
      <c r="C87" s="20">
        <v>1</v>
      </c>
      <c r="D87" s="18">
        <v>79</v>
      </c>
      <c r="E87" s="20">
        <v>10813954</v>
      </c>
      <c r="F87" s="17" t="s">
        <v>555</v>
      </c>
      <c r="G87" s="19" t="s">
        <v>139</v>
      </c>
      <c r="H87" s="18">
        <v>15.8</v>
      </c>
      <c r="I87" s="17" t="s">
        <v>358</v>
      </c>
      <c r="J87" s="17"/>
      <c r="K87" s="16" t="str">
        <f>HYPERLINK("http://slimages.macys.com/is/image/MCY/19633988 ")</f>
        <v xml:space="preserve">http://slimages.macys.com/is/image/MCY/19633988 </v>
      </c>
      <c r="L87" s="30"/>
    </row>
    <row r="88" spans="1:12" ht="84" x14ac:dyDescent="0.25">
      <c r="A88" s="19" t="s">
        <v>553</v>
      </c>
      <c r="B88" s="17" t="s">
        <v>552</v>
      </c>
      <c r="C88" s="20">
        <v>1</v>
      </c>
      <c r="D88" s="18">
        <v>89</v>
      </c>
      <c r="E88" s="20" t="s">
        <v>551</v>
      </c>
      <c r="F88" s="17" t="s">
        <v>51</v>
      </c>
      <c r="G88" s="19" t="s">
        <v>27</v>
      </c>
      <c r="H88" s="18">
        <v>15.333333333333332</v>
      </c>
      <c r="I88" s="17" t="s">
        <v>550</v>
      </c>
      <c r="J88" s="17" t="s">
        <v>548</v>
      </c>
      <c r="K88" s="16" t="str">
        <f>HYPERLINK("http://slimages.macys.com/is/image/MCY/16136905 ")</f>
        <v xml:space="preserve">http://slimages.macys.com/is/image/MCY/16136905 </v>
      </c>
      <c r="L88" s="30"/>
    </row>
    <row r="89" spans="1:12" ht="60" x14ac:dyDescent="0.25">
      <c r="A89" s="19" t="s">
        <v>547</v>
      </c>
      <c r="B89" s="17" t="s">
        <v>546</v>
      </c>
      <c r="C89" s="20">
        <v>1</v>
      </c>
      <c r="D89" s="18">
        <v>69</v>
      </c>
      <c r="E89" s="20" t="s">
        <v>545</v>
      </c>
      <c r="F89" s="17" t="s">
        <v>544</v>
      </c>
      <c r="G89" s="19" t="s">
        <v>101</v>
      </c>
      <c r="H89" s="18">
        <v>15.226666666666667</v>
      </c>
      <c r="I89" s="17" t="s">
        <v>49</v>
      </c>
      <c r="J89" s="17"/>
      <c r="K89" s="16" t="str">
        <f>HYPERLINK("http://slimages.macys.com/is/image/MCY/19483143 ")</f>
        <v xml:space="preserve">http://slimages.macys.com/is/image/MCY/19483143 </v>
      </c>
      <c r="L89" s="30"/>
    </row>
    <row r="90" spans="1:12" ht="60" x14ac:dyDescent="0.25">
      <c r="A90" s="19" t="s">
        <v>543</v>
      </c>
      <c r="B90" s="17" t="s">
        <v>542</v>
      </c>
      <c r="C90" s="20">
        <v>1</v>
      </c>
      <c r="D90" s="18">
        <v>79.5</v>
      </c>
      <c r="E90" s="20" t="s">
        <v>541</v>
      </c>
      <c r="F90" s="17" t="s">
        <v>508</v>
      </c>
      <c r="G90" s="19" t="s">
        <v>351</v>
      </c>
      <c r="H90" s="18">
        <v>15.106666666666667</v>
      </c>
      <c r="I90" s="17" t="s">
        <v>540</v>
      </c>
      <c r="J90" s="17"/>
      <c r="K90" s="16" t="str">
        <f>HYPERLINK("http://slimages.macys.com/is/image/MCY/18889301 ")</f>
        <v xml:space="preserve">http://slimages.macys.com/is/image/MCY/18889301 </v>
      </c>
      <c r="L90" s="30"/>
    </row>
    <row r="91" spans="1:12" ht="60" x14ac:dyDescent="0.25">
      <c r="A91" s="19" t="s">
        <v>539</v>
      </c>
      <c r="B91" s="17" t="s">
        <v>538</v>
      </c>
      <c r="C91" s="20">
        <v>1</v>
      </c>
      <c r="D91" s="18">
        <v>79</v>
      </c>
      <c r="E91" s="20">
        <v>10805728</v>
      </c>
      <c r="F91" s="17" t="s">
        <v>18</v>
      </c>
      <c r="G91" s="19" t="s">
        <v>197</v>
      </c>
      <c r="H91" s="18">
        <v>15</v>
      </c>
      <c r="I91" s="17" t="s">
        <v>120</v>
      </c>
      <c r="J91" s="17"/>
      <c r="K91" s="16" t="str">
        <f>HYPERLINK("http://slimages.macys.com/is/image/MCY/20365426 ")</f>
        <v xml:space="preserve">http://slimages.macys.com/is/image/MCY/20365426 </v>
      </c>
      <c r="L91" s="30"/>
    </row>
    <row r="92" spans="1:12" ht="60" x14ac:dyDescent="0.25">
      <c r="A92" s="19" t="s">
        <v>537</v>
      </c>
      <c r="B92" s="17" t="s">
        <v>536</v>
      </c>
      <c r="C92" s="20">
        <v>1</v>
      </c>
      <c r="D92" s="18">
        <v>79</v>
      </c>
      <c r="E92" s="20">
        <v>10805680</v>
      </c>
      <c r="F92" s="17" t="s">
        <v>535</v>
      </c>
      <c r="G92" s="19" t="s">
        <v>69</v>
      </c>
      <c r="H92" s="18">
        <v>15</v>
      </c>
      <c r="I92" s="17" t="s">
        <v>120</v>
      </c>
      <c r="J92" s="17"/>
      <c r="K92" s="16" t="str">
        <f>HYPERLINK("http://slimages.macys.com/is/image/MCY/19804307 ")</f>
        <v xml:space="preserve">http://slimages.macys.com/is/image/MCY/19804307 </v>
      </c>
      <c r="L92" s="30"/>
    </row>
    <row r="93" spans="1:12" ht="60" x14ac:dyDescent="0.25">
      <c r="A93" s="19" t="s">
        <v>534</v>
      </c>
      <c r="B93" s="17" t="s">
        <v>533</v>
      </c>
      <c r="C93" s="20">
        <v>1</v>
      </c>
      <c r="D93" s="18">
        <v>69.5</v>
      </c>
      <c r="E93" s="20" t="s">
        <v>532</v>
      </c>
      <c r="F93" s="17" t="s">
        <v>51</v>
      </c>
      <c r="G93" s="19" t="s">
        <v>57</v>
      </c>
      <c r="H93" s="18">
        <v>15</v>
      </c>
      <c r="I93" s="17" t="s">
        <v>80</v>
      </c>
      <c r="J93" s="17"/>
      <c r="K93" s="16" t="str">
        <f>HYPERLINK("http://slimages.macys.com/is/image/MCY/18518668 ")</f>
        <v xml:space="preserve">http://slimages.macys.com/is/image/MCY/18518668 </v>
      </c>
      <c r="L93" s="30"/>
    </row>
    <row r="94" spans="1:12" ht="60" x14ac:dyDescent="0.25">
      <c r="A94" s="19" t="s">
        <v>530</v>
      </c>
      <c r="B94" s="17" t="s">
        <v>529</v>
      </c>
      <c r="C94" s="20">
        <v>2</v>
      </c>
      <c r="D94" s="18">
        <v>79.5</v>
      </c>
      <c r="E94" s="20" t="s">
        <v>526</v>
      </c>
      <c r="F94" s="17" t="s">
        <v>63</v>
      </c>
      <c r="G94" s="19" t="s">
        <v>197</v>
      </c>
      <c r="H94" s="18">
        <v>14.98</v>
      </c>
      <c r="I94" s="17" t="s">
        <v>68</v>
      </c>
      <c r="J94" s="17"/>
      <c r="K94" s="16" t="str">
        <f>HYPERLINK("http://slimages.macys.com/is/image/MCY/15237637 ")</f>
        <v xml:space="preserve">http://slimages.macys.com/is/image/MCY/15237637 </v>
      </c>
      <c r="L94" s="30"/>
    </row>
    <row r="95" spans="1:12" ht="60" x14ac:dyDescent="0.25">
      <c r="A95" s="19" t="s">
        <v>528</v>
      </c>
      <c r="B95" s="17" t="s">
        <v>527</v>
      </c>
      <c r="C95" s="20">
        <v>1</v>
      </c>
      <c r="D95" s="18">
        <v>79.5</v>
      </c>
      <c r="E95" s="20" t="s">
        <v>526</v>
      </c>
      <c r="F95" s="17" t="s">
        <v>28</v>
      </c>
      <c r="G95" s="19" t="s">
        <v>69</v>
      </c>
      <c r="H95" s="18">
        <v>14.98</v>
      </c>
      <c r="I95" s="17" t="s">
        <v>68</v>
      </c>
      <c r="J95" s="17"/>
      <c r="K95" s="16" t="str">
        <f>HYPERLINK("http://slimages.macys.com/is/image/MCY/15237637 ")</f>
        <v xml:space="preserve">http://slimages.macys.com/is/image/MCY/15237637 </v>
      </c>
      <c r="L95" s="30"/>
    </row>
    <row r="96" spans="1:12" ht="60" x14ac:dyDescent="0.25">
      <c r="A96" s="19" t="s">
        <v>525</v>
      </c>
      <c r="B96" s="17" t="s">
        <v>524</v>
      </c>
      <c r="C96" s="20">
        <v>1</v>
      </c>
      <c r="D96" s="18">
        <v>79.5</v>
      </c>
      <c r="E96" s="20" t="s">
        <v>523</v>
      </c>
      <c r="F96" s="17" t="s">
        <v>28</v>
      </c>
      <c r="G96" s="19" t="s">
        <v>74</v>
      </c>
      <c r="H96" s="18">
        <v>14.973333333333334</v>
      </c>
      <c r="I96" s="17" t="s">
        <v>68</v>
      </c>
      <c r="J96" s="17"/>
      <c r="K96" s="16" t="str">
        <f>HYPERLINK("http://slimages.macys.com/is/image/MCY/16803772 ")</f>
        <v xml:space="preserve">http://slimages.macys.com/is/image/MCY/16803772 </v>
      </c>
      <c r="L96" s="30"/>
    </row>
    <row r="97" spans="1:12" ht="60" x14ac:dyDescent="0.25">
      <c r="A97" s="19" t="s">
        <v>522</v>
      </c>
      <c r="B97" s="17" t="s">
        <v>521</v>
      </c>
      <c r="C97" s="20">
        <v>1</v>
      </c>
      <c r="D97" s="18">
        <v>79.5</v>
      </c>
      <c r="E97" s="20" t="s">
        <v>518</v>
      </c>
      <c r="F97" s="17" t="s">
        <v>35</v>
      </c>
      <c r="G97" s="19" t="s">
        <v>123</v>
      </c>
      <c r="H97" s="18">
        <v>14.966666666666669</v>
      </c>
      <c r="I97" s="17" t="s">
        <v>68</v>
      </c>
      <c r="J97" s="17"/>
      <c r="K97" s="16" t="str">
        <f>HYPERLINK("http://slimages.macys.com/is/image/MCY/20101063 ")</f>
        <v xml:space="preserve">http://slimages.macys.com/is/image/MCY/20101063 </v>
      </c>
      <c r="L97" s="30"/>
    </row>
    <row r="98" spans="1:12" ht="60" x14ac:dyDescent="0.25">
      <c r="A98" s="19" t="s">
        <v>520</v>
      </c>
      <c r="B98" s="17" t="s">
        <v>519</v>
      </c>
      <c r="C98" s="20">
        <v>1</v>
      </c>
      <c r="D98" s="18">
        <v>79.5</v>
      </c>
      <c r="E98" s="20" t="s">
        <v>518</v>
      </c>
      <c r="F98" s="17" t="s">
        <v>263</v>
      </c>
      <c r="G98" s="19" t="s">
        <v>517</v>
      </c>
      <c r="H98" s="18">
        <v>14.966666666666669</v>
      </c>
      <c r="I98" s="17" t="s">
        <v>68</v>
      </c>
      <c r="J98" s="17"/>
      <c r="K98" s="16" t="str">
        <f>HYPERLINK("http://slimages.macys.com/is/image/MCY/20101063 ")</f>
        <v xml:space="preserve">http://slimages.macys.com/is/image/MCY/20101063 </v>
      </c>
      <c r="L98" s="30"/>
    </row>
    <row r="99" spans="1:12" ht="60" x14ac:dyDescent="0.25">
      <c r="A99" s="19" t="s">
        <v>516</v>
      </c>
      <c r="B99" s="17" t="s">
        <v>515</v>
      </c>
      <c r="C99" s="20">
        <v>1</v>
      </c>
      <c r="D99" s="18">
        <v>79.5</v>
      </c>
      <c r="E99" s="20">
        <v>30100534</v>
      </c>
      <c r="F99" s="17" t="s">
        <v>514</v>
      </c>
      <c r="G99" s="19" t="s">
        <v>69</v>
      </c>
      <c r="H99" s="18">
        <v>14.84</v>
      </c>
      <c r="I99" s="17" t="s">
        <v>80</v>
      </c>
      <c r="J99" s="17"/>
      <c r="K99" s="16" t="str">
        <f>HYPERLINK("http://slimages.macys.com/is/image/MCY/19258578 ")</f>
        <v xml:space="preserve">http://slimages.macys.com/is/image/MCY/19258578 </v>
      </c>
      <c r="L99" s="30"/>
    </row>
    <row r="100" spans="1:12" ht="60" x14ac:dyDescent="0.25">
      <c r="A100" s="19" t="s">
        <v>512</v>
      </c>
      <c r="B100" s="17" t="s">
        <v>511</v>
      </c>
      <c r="C100" s="20">
        <v>1</v>
      </c>
      <c r="D100" s="18">
        <v>89</v>
      </c>
      <c r="E100" s="20">
        <v>7021719</v>
      </c>
      <c r="F100" s="17" t="s">
        <v>91</v>
      </c>
      <c r="G100" s="19" t="s">
        <v>17</v>
      </c>
      <c r="H100" s="18">
        <v>14.833333333333334</v>
      </c>
      <c r="I100" s="17" t="s">
        <v>111</v>
      </c>
      <c r="J100" s="17"/>
      <c r="K100" s="16" t="str">
        <f>HYPERLINK("http://slimages.macys.com/is/image/MCY/18738581 ")</f>
        <v xml:space="preserve">http://slimages.macys.com/is/image/MCY/18738581 </v>
      </c>
      <c r="L100" s="30"/>
    </row>
    <row r="101" spans="1:12" ht="60" x14ac:dyDescent="0.25">
      <c r="A101" s="19" t="s">
        <v>510</v>
      </c>
      <c r="B101" s="17" t="s">
        <v>509</v>
      </c>
      <c r="C101" s="20">
        <v>1</v>
      </c>
      <c r="D101" s="18">
        <v>69</v>
      </c>
      <c r="E101" s="20">
        <v>7050033</v>
      </c>
      <c r="F101" s="17" t="s">
        <v>508</v>
      </c>
      <c r="G101" s="19" t="s">
        <v>101</v>
      </c>
      <c r="H101" s="18">
        <v>14.720000000000002</v>
      </c>
      <c r="I101" s="17" t="s">
        <v>111</v>
      </c>
      <c r="J101" s="17"/>
      <c r="K101" s="16" t="str">
        <f>HYPERLINK("http://slimages.macys.com/is/image/MCY/19850176 ")</f>
        <v xml:space="preserve">http://slimages.macys.com/is/image/MCY/19850176 </v>
      </c>
      <c r="L101" s="30"/>
    </row>
    <row r="102" spans="1:12" ht="60" x14ac:dyDescent="0.25">
      <c r="A102" s="19" t="s">
        <v>507</v>
      </c>
      <c r="B102" s="17" t="s">
        <v>506</v>
      </c>
      <c r="C102" s="20">
        <v>1</v>
      </c>
      <c r="D102" s="18">
        <v>69</v>
      </c>
      <c r="E102" s="20">
        <v>7021002</v>
      </c>
      <c r="F102" s="17" t="s">
        <v>58</v>
      </c>
      <c r="G102" s="19" t="s">
        <v>22</v>
      </c>
      <c r="H102" s="18">
        <v>14.720000000000002</v>
      </c>
      <c r="I102" s="17" t="s">
        <v>111</v>
      </c>
      <c r="J102" s="17"/>
      <c r="K102" s="16" t="str">
        <f>HYPERLINK("http://slimages.macys.com/is/image/MCY/21619274 ")</f>
        <v xml:space="preserve">http://slimages.macys.com/is/image/MCY/21619274 </v>
      </c>
      <c r="L102" s="30"/>
    </row>
    <row r="103" spans="1:12" ht="60" x14ac:dyDescent="0.25">
      <c r="A103" s="19" t="s">
        <v>505</v>
      </c>
      <c r="B103" s="17" t="s">
        <v>504</v>
      </c>
      <c r="C103" s="20">
        <v>1</v>
      </c>
      <c r="D103" s="18">
        <v>69.5</v>
      </c>
      <c r="E103" s="20" t="s">
        <v>503</v>
      </c>
      <c r="F103" s="17" t="s">
        <v>91</v>
      </c>
      <c r="G103" s="19" t="s">
        <v>74</v>
      </c>
      <c r="H103" s="18">
        <v>14.000000000000002</v>
      </c>
      <c r="I103" s="17" t="s">
        <v>106</v>
      </c>
      <c r="J103" s="17"/>
      <c r="K103" s="16" t="str">
        <f>HYPERLINK("http://slimages.macys.com/is/image/MCY/20485660 ")</f>
        <v xml:space="preserve">http://slimages.macys.com/is/image/MCY/20485660 </v>
      </c>
      <c r="L103" s="30"/>
    </row>
    <row r="104" spans="1:12" ht="60" x14ac:dyDescent="0.25">
      <c r="A104" s="19" t="s">
        <v>502</v>
      </c>
      <c r="B104" s="17" t="s">
        <v>501</v>
      </c>
      <c r="C104" s="20">
        <v>1</v>
      </c>
      <c r="D104" s="18">
        <v>69.5</v>
      </c>
      <c r="E104" s="20" t="s">
        <v>500</v>
      </c>
      <c r="F104" s="17" t="s">
        <v>91</v>
      </c>
      <c r="G104" s="19" t="s">
        <v>197</v>
      </c>
      <c r="H104" s="18">
        <v>14.000000000000002</v>
      </c>
      <c r="I104" s="17" t="s">
        <v>106</v>
      </c>
      <c r="J104" s="17"/>
      <c r="K104" s="16" t="str">
        <f>HYPERLINK("http://slimages.macys.com/is/image/MCY/20074094 ")</f>
        <v xml:space="preserve">http://slimages.macys.com/is/image/MCY/20074094 </v>
      </c>
      <c r="L104" s="30"/>
    </row>
    <row r="105" spans="1:12" ht="60" x14ac:dyDescent="0.25">
      <c r="A105" s="19" t="s">
        <v>499</v>
      </c>
      <c r="B105" s="17" t="s">
        <v>498</v>
      </c>
      <c r="C105" s="20">
        <v>1</v>
      </c>
      <c r="D105" s="18">
        <v>69</v>
      </c>
      <c r="E105" s="20" t="s">
        <v>497</v>
      </c>
      <c r="F105" s="17" t="s">
        <v>272</v>
      </c>
      <c r="G105" s="19" t="s">
        <v>74</v>
      </c>
      <c r="H105" s="18">
        <v>13.799999999999999</v>
      </c>
      <c r="I105" s="17" t="s">
        <v>144</v>
      </c>
      <c r="J105" s="17"/>
      <c r="K105" s="16" t="str">
        <f>HYPERLINK("http://slimages.macys.com/is/image/MCY/19447720 ")</f>
        <v xml:space="preserve">http://slimages.macys.com/is/image/MCY/19447720 </v>
      </c>
      <c r="L105" s="30"/>
    </row>
    <row r="106" spans="1:12" ht="60" x14ac:dyDescent="0.25">
      <c r="A106" s="19" t="s">
        <v>495</v>
      </c>
      <c r="B106" s="17" t="s">
        <v>494</v>
      </c>
      <c r="C106" s="20">
        <v>1</v>
      </c>
      <c r="D106" s="18">
        <v>69</v>
      </c>
      <c r="E106" s="20" t="s">
        <v>493</v>
      </c>
      <c r="F106" s="17" t="s">
        <v>149</v>
      </c>
      <c r="G106" s="19" t="s">
        <v>57</v>
      </c>
      <c r="H106" s="18">
        <v>13.526666666666667</v>
      </c>
      <c r="I106" s="17" t="s">
        <v>492</v>
      </c>
      <c r="J106" s="17"/>
      <c r="K106" s="16" t="str">
        <f>HYPERLINK("http://slimages.macys.com/is/image/MCY/19410528 ")</f>
        <v xml:space="preserve">http://slimages.macys.com/is/image/MCY/19410528 </v>
      </c>
      <c r="L106" s="30"/>
    </row>
    <row r="107" spans="1:12" ht="60" x14ac:dyDescent="0.25">
      <c r="A107" s="19" t="s">
        <v>490</v>
      </c>
      <c r="B107" s="17" t="s">
        <v>489</v>
      </c>
      <c r="C107" s="20">
        <v>1</v>
      </c>
      <c r="D107" s="18">
        <v>69</v>
      </c>
      <c r="E107" s="20">
        <v>10808156</v>
      </c>
      <c r="F107" s="17" t="s">
        <v>23</v>
      </c>
      <c r="G107" s="19" t="s">
        <v>69</v>
      </c>
      <c r="H107" s="18">
        <v>13.34</v>
      </c>
      <c r="I107" s="17" t="s">
        <v>120</v>
      </c>
      <c r="J107" s="17"/>
      <c r="K107" s="16" t="str">
        <f>HYPERLINK("http://slimages.macys.com/is/image/MCY/19488570 ")</f>
        <v xml:space="preserve">http://slimages.macys.com/is/image/MCY/19488570 </v>
      </c>
      <c r="L107" s="30"/>
    </row>
    <row r="108" spans="1:12" ht="60" x14ac:dyDescent="0.25">
      <c r="A108" s="19" t="s">
        <v>488</v>
      </c>
      <c r="B108" s="17" t="s">
        <v>487</v>
      </c>
      <c r="C108" s="20">
        <v>1</v>
      </c>
      <c r="D108" s="18">
        <v>59.5</v>
      </c>
      <c r="E108" s="20" t="s">
        <v>486</v>
      </c>
      <c r="F108" s="17" t="s">
        <v>51</v>
      </c>
      <c r="G108" s="19" t="s">
        <v>271</v>
      </c>
      <c r="H108" s="18">
        <v>13.286666666666667</v>
      </c>
      <c r="I108" s="17" t="s">
        <v>267</v>
      </c>
      <c r="J108" s="17"/>
      <c r="K108" s="16" t="str">
        <f>HYPERLINK("http://slimages.macys.com/is/image/MCY/20468711 ")</f>
        <v xml:space="preserve">http://slimages.macys.com/is/image/MCY/20468711 </v>
      </c>
      <c r="L108" s="30"/>
    </row>
    <row r="109" spans="1:12" ht="60" x14ac:dyDescent="0.25">
      <c r="A109" s="19" t="s">
        <v>485</v>
      </c>
      <c r="B109" s="17" t="s">
        <v>484</v>
      </c>
      <c r="C109" s="20">
        <v>1</v>
      </c>
      <c r="D109" s="18">
        <v>79.5</v>
      </c>
      <c r="E109" s="20">
        <v>30159118</v>
      </c>
      <c r="F109" s="17" t="s">
        <v>28</v>
      </c>
      <c r="G109" s="19" t="s">
        <v>62</v>
      </c>
      <c r="H109" s="18">
        <v>13.253333333333334</v>
      </c>
      <c r="I109" s="17" t="s">
        <v>481</v>
      </c>
      <c r="J109" s="17"/>
      <c r="K109" s="16" t="str">
        <f>HYPERLINK("http://slimages.macys.com/is/image/MCY/21168124 ")</f>
        <v xml:space="preserve">http://slimages.macys.com/is/image/MCY/21168124 </v>
      </c>
      <c r="L109" s="30"/>
    </row>
    <row r="110" spans="1:12" ht="60" x14ac:dyDescent="0.25">
      <c r="A110" s="19" t="s">
        <v>483</v>
      </c>
      <c r="B110" s="17" t="s">
        <v>482</v>
      </c>
      <c r="C110" s="20">
        <v>1</v>
      </c>
      <c r="D110" s="18">
        <v>79.5</v>
      </c>
      <c r="E110" s="20">
        <v>30159118</v>
      </c>
      <c r="F110" s="17" t="s">
        <v>206</v>
      </c>
      <c r="G110" s="19" t="s">
        <v>69</v>
      </c>
      <c r="H110" s="18">
        <v>13.253333333333334</v>
      </c>
      <c r="I110" s="17" t="s">
        <v>481</v>
      </c>
      <c r="J110" s="17"/>
      <c r="K110" s="16" t="str">
        <f>HYPERLINK("http://slimages.macys.com/is/image/MCY/21168124 ")</f>
        <v xml:space="preserve">http://slimages.macys.com/is/image/MCY/21168124 </v>
      </c>
      <c r="L110" s="30"/>
    </row>
    <row r="111" spans="1:12" ht="60" x14ac:dyDescent="0.25">
      <c r="A111" s="19" t="s">
        <v>479</v>
      </c>
      <c r="B111" s="17" t="s">
        <v>478</v>
      </c>
      <c r="C111" s="20">
        <v>1</v>
      </c>
      <c r="D111" s="18">
        <v>69.5</v>
      </c>
      <c r="E111" s="20" t="s">
        <v>461</v>
      </c>
      <c r="F111" s="17" t="s">
        <v>28</v>
      </c>
      <c r="G111" s="19" t="s">
        <v>197</v>
      </c>
      <c r="H111" s="18">
        <v>13.086666666666668</v>
      </c>
      <c r="I111" s="17" t="s">
        <v>68</v>
      </c>
      <c r="J111" s="17"/>
      <c r="K111" s="16" t="str">
        <f>HYPERLINK("http://slimages.macys.com/is/image/MCY/20101913 ")</f>
        <v xml:space="preserve">http://slimages.macys.com/is/image/MCY/20101913 </v>
      </c>
      <c r="L111" s="30"/>
    </row>
    <row r="112" spans="1:12" ht="60" x14ac:dyDescent="0.25">
      <c r="A112" s="19" t="s">
        <v>477</v>
      </c>
      <c r="B112" s="17" t="s">
        <v>476</v>
      </c>
      <c r="C112" s="20">
        <v>2</v>
      </c>
      <c r="D112" s="18">
        <v>69.5</v>
      </c>
      <c r="E112" s="20" t="s">
        <v>461</v>
      </c>
      <c r="F112" s="17" t="s">
        <v>28</v>
      </c>
      <c r="G112" s="19" t="s">
        <v>62</v>
      </c>
      <c r="H112" s="18">
        <v>13.086666666666668</v>
      </c>
      <c r="I112" s="17" t="s">
        <v>68</v>
      </c>
      <c r="J112" s="17"/>
      <c r="K112" s="16" t="str">
        <f>HYPERLINK("http://slimages.macys.com/is/image/MCY/20101913 ")</f>
        <v xml:space="preserve">http://slimages.macys.com/is/image/MCY/20101913 </v>
      </c>
      <c r="L112" s="30"/>
    </row>
    <row r="113" spans="1:12" ht="60" x14ac:dyDescent="0.25">
      <c r="A113" s="19" t="s">
        <v>475</v>
      </c>
      <c r="B113" s="17" t="s">
        <v>474</v>
      </c>
      <c r="C113" s="20">
        <v>1</v>
      </c>
      <c r="D113" s="18">
        <v>69.5</v>
      </c>
      <c r="E113" s="20" t="s">
        <v>473</v>
      </c>
      <c r="F113" s="17" t="s">
        <v>216</v>
      </c>
      <c r="G113" s="19" t="s">
        <v>116</v>
      </c>
      <c r="H113" s="18">
        <v>13.086666666666668</v>
      </c>
      <c r="I113" s="17" t="s">
        <v>68</v>
      </c>
      <c r="J113" s="17" t="s">
        <v>472</v>
      </c>
      <c r="K113" s="16" t="str">
        <f>HYPERLINK("http://slimages.macys.com/is/image/MCY/9873076 ")</f>
        <v xml:space="preserve">http://slimages.macys.com/is/image/MCY/9873076 </v>
      </c>
      <c r="L113" s="30"/>
    </row>
    <row r="114" spans="1:12" ht="60" x14ac:dyDescent="0.25">
      <c r="A114" s="19" t="s">
        <v>471</v>
      </c>
      <c r="B114" s="17" t="s">
        <v>470</v>
      </c>
      <c r="C114" s="20">
        <v>1</v>
      </c>
      <c r="D114" s="18">
        <v>69.5</v>
      </c>
      <c r="E114" s="20" t="s">
        <v>458</v>
      </c>
      <c r="F114" s="17" t="s">
        <v>91</v>
      </c>
      <c r="G114" s="19" t="s">
        <v>69</v>
      </c>
      <c r="H114" s="18">
        <v>13.086666666666668</v>
      </c>
      <c r="I114" s="17" t="s">
        <v>68</v>
      </c>
      <c r="J114" s="17"/>
      <c r="K114" s="16" t="str">
        <f>HYPERLINK("http://slimages.macys.com/is/image/MCY/20494763 ")</f>
        <v xml:space="preserve">http://slimages.macys.com/is/image/MCY/20494763 </v>
      </c>
      <c r="L114" s="30"/>
    </row>
    <row r="115" spans="1:12" ht="60" x14ac:dyDescent="0.25">
      <c r="A115" s="19" t="s">
        <v>469</v>
      </c>
      <c r="B115" s="17" t="s">
        <v>468</v>
      </c>
      <c r="C115" s="20">
        <v>1</v>
      </c>
      <c r="D115" s="18">
        <v>69.5</v>
      </c>
      <c r="E115" s="20" t="s">
        <v>467</v>
      </c>
      <c r="F115" s="17" t="s">
        <v>63</v>
      </c>
      <c r="G115" s="19" t="s">
        <v>74</v>
      </c>
      <c r="H115" s="18">
        <v>13.086666666666668</v>
      </c>
      <c r="I115" s="17" t="s">
        <v>68</v>
      </c>
      <c r="J115" s="17"/>
      <c r="K115" s="16" t="str">
        <f>HYPERLINK("http://slimages.macys.com/is/image/MCY/19622435 ")</f>
        <v xml:space="preserve">http://slimages.macys.com/is/image/MCY/19622435 </v>
      </c>
      <c r="L115" s="30"/>
    </row>
    <row r="116" spans="1:12" ht="60" x14ac:dyDescent="0.25">
      <c r="A116" s="19" t="s">
        <v>466</v>
      </c>
      <c r="B116" s="17" t="s">
        <v>465</v>
      </c>
      <c r="C116" s="20">
        <v>1</v>
      </c>
      <c r="D116" s="18">
        <v>69.5</v>
      </c>
      <c r="E116" s="20" t="s">
        <v>464</v>
      </c>
      <c r="F116" s="17" t="s">
        <v>433</v>
      </c>
      <c r="G116" s="19" t="s">
        <v>62</v>
      </c>
      <c r="H116" s="18">
        <v>13.086666666666668</v>
      </c>
      <c r="I116" s="17" t="s">
        <v>68</v>
      </c>
      <c r="J116" s="17"/>
      <c r="K116" s="16" t="str">
        <f>HYPERLINK("http://slimages.macys.com/is/image/MCY/20915648 ")</f>
        <v xml:space="preserve">http://slimages.macys.com/is/image/MCY/20915648 </v>
      </c>
      <c r="L116" s="30"/>
    </row>
    <row r="117" spans="1:12" ht="60" x14ac:dyDescent="0.25">
      <c r="A117" s="19" t="s">
        <v>463</v>
      </c>
      <c r="B117" s="17" t="s">
        <v>462</v>
      </c>
      <c r="C117" s="20">
        <v>1</v>
      </c>
      <c r="D117" s="18">
        <v>69.5</v>
      </c>
      <c r="E117" s="20" t="s">
        <v>461</v>
      </c>
      <c r="F117" s="17" t="s">
        <v>28</v>
      </c>
      <c r="G117" s="19" t="s">
        <v>69</v>
      </c>
      <c r="H117" s="18">
        <v>13.086666666666668</v>
      </c>
      <c r="I117" s="17" t="s">
        <v>68</v>
      </c>
      <c r="J117" s="17"/>
      <c r="K117" s="16" t="str">
        <f>HYPERLINK("http://slimages.macys.com/is/image/MCY/20101913 ")</f>
        <v xml:space="preserve">http://slimages.macys.com/is/image/MCY/20101913 </v>
      </c>
      <c r="L117" s="30"/>
    </row>
    <row r="118" spans="1:12" ht="60" x14ac:dyDescent="0.25">
      <c r="A118" s="19" t="s">
        <v>460</v>
      </c>
      <c r="B118" s="17" t="s">
        <v>459</v>
      </c>
      <c r="C118" s="20">
        <v>1</v>
      </c>
      <c r="D118" s="18">
        <v>69.5</v>
      </c>
      <c r="E118" s="20" t="s">
        <v>458</v>
      </c>
      <c r="F118" s="17" t="s">
        <v>91</v>
      </c>
      <c r="G118" s="19" t="s">
        <v>62</v>
      </c>
      <c r="H118" s="18">
        <v>13.086666666666668</v>
      </c>
      <c r="I118" s="17" t="s">
        <v>68</v>
      </c>
      <c r="J118" s="17"/>
      <c r="K118" s="16" t="str">
        <f>HYPERLINK("http://slimages.macys.com/is/image/MCY/20494763 ")</f>
        <v xml:space="preserve">http://slimages.macys.com/is/image/MCY/20494763 </v>
      </c>
      <c r="L118" s="30"/>
    </row>
    <row r="119" spans="1:12" ht="60" x14ac:dyDescent="0.25">
      <c r="A119" s="19" t="s">
        <v>457</v>
      </c>
      <c r="B119" s="17" t="s">
        <v>456</v>
      </c>
      <c r="C119" s="20">
        <v>1</v>
      </c>
      <c r="D119" s="18">
        <v>69.5</v>
      </c>
      <c r="E119" s="20" t="s">
        <v>455</v>
      </c>
      <c r="F119" s="17" t="s">
        <v>58</v>
      </c>
      <c r="G119" s="19" t="s">
        <v>62</v>
      </c>
      <c r="H119" s="18">
        <v>13.086666666666668</v>
      </c>
      <c r="I119" s="17" t="s">
        <v>68</v>
      </c>
      <c r="J119" s="17"/>
      <c r="K119" s="16" t="str">
        <f>HYPERLINK("http://slimages.macys.com/is/image/MCY/20101317 ")</f>
        <v xml:space="preserve">http://slimages.macys.com/is/image/MCY/20101317 </v>
      </c>
      <c r="L119" s="30"/>
    </row>
    <row r="120" spans="1:12" ht="60" x14ac:dyDescent="0.25">
      <c r="A120" s="19" t="s">
        <v>454</v>
      </c>
      <c r="B120" s="17" t="s">
        <v>453</v>
      </c>
      <c r="C120" s="20">
        <v>1</v>
      </c>
      <c r="D120" s="18">
        <v>69.5</v>
      </c>
      <c r="E120" s="20" t="s">
        <v>452</v>
      </c>
      <c r="F120" s="17" t="s">
        <v>282</v>
      </c>
      <c r="G120" s="19" t="s">
        <v>74</v>
      </c>
      <c r="H120" s="18">
        <v>13.086666666666668</v>
      </c>
      <c r="I120" s="17" t="s">
        <v>56</v>
      </c>
      <c r="J120" s="17"/>
      <c r="K120" s="16" t="str">
        <f>HYPERLINK("http://slimages.macys.com/is/image/MCY/19395484 ")</f>
        <v xml:space="preserve">http://slimages.macys.com/is/image/MCY/19395484 </v>
      </c>
      <c r="L120" s="30"/>
    </row>
    <row r="121" spans="1:12" ht="60" x14ac:dyDescent="0.25">
      <c r="A121" s="19" t="s">
        <v>451</v>
      </c>
      <c r="B121" s="17" t="s">
        <v>450</v>
      </c>
      <c r="C121" s="20">
        <v>1</v>
      </c>
      <c r="D121" s="18">
        <v>69.5</v>
      </c>
      <c r="E121" s="20" t="s">
        <v>449</v>
      </c>
      <c r="F121" s="17" t="s">
        <v>23</v>
      </c>
      <c r="G121" s="19" t="s">
        <v>27</v>
      </c>
      <c r="H121" s="18">
        <v>13.086666666666668</v>
      </c>
      <c r="I121" s="17" t="s">
        <v>68</v>
      </c>
      <c r="J121" s="17"/>
      <c r="K121" s="16" t="str">
        <f>HYPERLINK("http://slimages.macys.com/is/image/MCY/19179933 ")</f>
        <v xml:space="preserve">http://slimages.macys.com/is/image/MCY/19179933 </v>
      </c>
      <c r="L121" s="30"/>
    </row>
    <row r="122" spans="1:12" ht="60" x14ac:dyDescent="0.25">
      <c r="A122" s="19" t="s">
        <v>448</v>
      </c>
      <c r="B122" s="17" t="s">
        <v>447</v>
      </c>
      <c r="C122" s="20">
        <v>1</v>
      </c>
      <c r="D122" s="18">
        <v>69.5</v>
      </c>
      <c r="E122" s="20" t="s">
        <v>446</v>
      </c>
      <c r="F122" s="17" t="s">
        <v>58</v>
      </c>
      <c r="G122" s="19" t="s">
        <v>197</v>
      </c>
      <c r="H122" s="18">
        <v>13.086666666666668</v>
      </c>
      <c r="I122" s="17" t="s">
        <v>56</v>
      </c>
      <c r="J122" s="17"/>
      <c r="K122" s="16" t="str">
        <f>HYPERLINK("http://slimages.macys.com/is/image/MCY/19379134 ")</f>
        <v xml:space="preserve">http://slimages.macys.com/is/image/MCY/19379134 </v>
      </c>
      <c r="L122" s="30"/>
    </row>
    <row r="123" spans="1:12" ht="60" x14ac:dyDescent="0.25">
      <c r="A123" s="19" t="s">
        <v>445</v>
      </c>
      <c r="B123" s="17" t="s">
        <v>444</v>
      </c>
      <c r="C123" s="20">
        <v>2</v>
      </c>
      <c r="D123" s="18">
        <v>69.5</v>
      </c>
      <c r="E123" s="20" t="s">
        <v>443</v>
      </c>
      <c r="F123" s="17" t="s">
        <v>23</v>
      </c>
      <c r="G123" s="19" t="s">
        <v>74</v>
      </c>
      <c r="H123" s="18">
        <v>13.086666666666668</v>
      </c>
      <c r="I123" s="17" t="s">
        <v>68</v>
      </c>
      <c r="J123" s="17"/>
      <c r="K123" s="16" t="str">
        <f>HYPERLINK("http://slimages.macys.com/is/image/MCY/16688814 ")</f>
        <v xml:space="preserve">http://slimages.macys.com/is/image/MCY/16688814 </v>
      </c>
      <c r="L123" s="30"/>
    </row>
    <row r="124" spans="1:12" ht="60" x14ac:dyDescent="0.25">
      <c r="A124" s="19" t="s">
        <v>442</v>
      </c>
      <c r="B124" s="17" t="s">
        <v>441</v>
      </c>
      <c r="C124" s="20">
        <v>1</v>
      </c>
      <c r="D124" s="18">
        <v>59</v>
      </c>
      <c r="E124" s="20" t="s">
        <v>440</v>
      </c>
      <c r="F124" s="17" t="s">
        <v>23</v>
      </c>
      <c r="G124" s="19" t="s">
        <v>101</v>
      </c>
      <c r="H124" s="18">
        <v>13.020000000000001</v>
      </c>
      <c r="I124" s="17" t="s">
        <v>49</v>
      </c>
      <c r="J124" s="17"/>
      <c r="K124" s="16" t="str">
        <f>HYPERLINK("http://slimages.macys.com/is/image/MCY/19634640 ")</f>
        <v xml:space="preserve">http://slimages.macys.com/is/image/MCY/19634640 </v>
      </c>
      <c r="L124" s="30"/>
    </row>
    <row r="125" spans="1:12" ht="60" x14ac:dyDescent="0.25">
      <c r="A125" s="19" t="s">
        <v>439</v>
      </c>
      <c r="B125" s="17" t="s">
        <v>438</v>
      </c>
      <c r="C125" s="20">
        <v>1</v>
      </c>
      <c r="D125" s="18">
        <v>59</v>
      </c>
      <c r="E125" s="20" t="s">
        <v>437</v>
      </c>
      <c r="F125" s="17" t="s">
        <v>272</v>
      </c>
      <c r="G125" s="19" t="s">
        <v>17</v>
      </c>
      <c r="H125" s="18">
        <v>13.020000000000001</v>
      </c>
      <c r="I125" s="17" t="s">
        <v>49</v>
      </c>
      <c r="J125" s="17"/>
      <c r="K125" s="16" t="str">
        <f>HYPERLINK("http://slimages.macys.com/is/image/MCY/19483123 ")</f>
        <v xml:space="preserve">http://slimages.macys.com/is/image/MCY/19483123 </v>
      </c>
      <c r="L125" s="30"/>
    </row>
    <row r="126" spans="1:12" ht="60" x14ac:dyDescent="0.25">
      <c r="A126" s="19" t="s">
        <v>436</v>
      </c>
      <c r="B126" s="17" t="s">
        <v>435</v>
      </c>
      <c r="C126" s="20">
        <v>1</v>
      </c>
      <c r="D126" s="18">
        <v>59</v>
      </c>
      <c r="E126" s="20" t="s">
        <v>434</v>
      </c>
      <c r="F126" s="17" t="s">
        <v>433</v>
      </c>
      <c r="G126" s="19" t="s">
        <v>22</v>
      </c>
      <c r="H126" s="18">
        <v>13.020000000000001</v>
      </c>
      <c r="I126" s="17" t="s">
        <v>49</v>
      </c>
      <c r="J126" s="17"/>
      <c r="K126" s="16" t="str">
        <f>HYPERLINK("http://slimages.macys.com/is/image/MCY/19360103 ")</f>
        <v xml:space="preserve">http://slimages.macys.com/is/image/MCY/19360103 </v>
      </c>
      <c r="L126" s="30"/>
    </row>
    <row r="127" spans="1:12" ht="60" x14ac:dyDescent="0.25">
      <c r="A127" s="19" t="s">
        <v>432</v>
      </c>
      <c r="B127" s="17" t="s">
        <v>431</v>
      </c>
      <c r="C127" s="20">
        <v>1</v>
      </c>
      <c r="D127" s="18">
        <v>59</v>
      </c>
      <c r="E127" s="20" t="s">
        <v>428</v>
      </c>
      <c r="F127" s="17" t="s">
        <v>263</v>
      </c>
      <c r="G127" s="19" t="s">
        <v>101</v>
      </c>
      <c r="H127" s="18">
        <v>13.020000000000001</v>
      </c>
      <c r="I127" s="17" t="s">
        <v>49</v>
      </c>
      <c r="J127" s="17"/>
      <c r="K127" s="16" t="str">
        <f>HYPERLINK("http://slimages.macys.com/is/image/MCY/19634966 ")</f>
        <v xml:space="preserve">http://slimages.macys.com/is/image/MCY/19634966 </v>
      </c>
      <c r="L127" s="30"/>
    </row>
    <row r="128" spans="1:12" ht="60" x14ac:dyDescent="0.25">
      <c r="A128" s="19" t="s">
        <v>430</v>
      </c>
      <c r="B128" s="17" t="s">
        <v>429</v>
      </c>
      <c r="C128" s="20">
        <v>1</v>
      </c>
      <c r="D128" s="18">
        <v>59</v>
      </c>
      <c r="E128" s="20" t="s">
        <v>428</v>
      </c>
      <c r="F128" s="17" t="s">
        <v>263</v>
      </c>
      <c r="G128" s="19" t="s">
        <v>50</v>
      </c>
      <c r="H128" s="18">
        <v>13.020000000000001</v>
      </c>
      <c r="I128" s="17" t="s">
        <v>49</v>
      </c>
      <c r="J128" s="17"/>
      <c r="K128" s="16" t="str">
        <f>HYPERLINK("http://slimages.macys.com/is/image/MCY/19634966 ")</f>
        <v xml:space="preserve">http://slimages.macys.com/is/image/MCY/19634966 </v>
      </c>
      <c r="L128" s="30"/>
    </row>
    <row r="129" spans="1:12" ht="60" x14ac:dyDescent="0.25">
      <c r="A129" s="19" t="s">
        <v>427</v>
      </c>
      <c r="B129" s="17" t="s">
        <v>426</v>
      </c>
      <c r="C129" s="20">
        <v>1</v>
      </c>
      <c r="D129" s="18">
        <v>69.5</v>
      </c>
      <c r="E129" s="20" t="s">
        <v>425</v>
      </c>
      <c r="F129" s="17" t="s">
        <v>339</v>
      </c>
      <c r="G129" s="19" t="s">
        <v>351</v>
      </c>
      <c r="H129" s="18">
        <v>12.74</v>
      </c>
      <c r="I129" s="17" t="s">
        <v>267</v>
      </c>
      <c r="J129" s="17"/>
      <c r="K129" s="16" t="str">
        <f>HYPERLINK("http://slimages.macys.com/is/image/MCY/19044242 ")</f>
        <v xml:space="preserve">http://slimages.macys.com/is/image/MCY/19044242 </v>
      </c>
      <c r="L129" s="30"/>
    </row>
    <row r="130" spans="1:12" ht="60" x14ac:dyDescent="0.25">
      <c r="A130" s="19" t="s">
        <v>424</v>
      </c>
      <c r="B130" s="17" t="s">
        <v>423</v>
      </c>
      <c r="C130" s="20">
        <v>1</v>
      </c>
      <c r="D130" s="18">
        <v>69.5</v>
      </c>
      <c r="E130" s="20" t="s">
        <v>422</v>
      </c>
      <c r="F130" s="17" t="s">
        <v>272</v>
      </c>
      <c r="G130" s="19" t="s">
        <v>271</v>
      </c>
      <c r="H130" s="18">
        <v>12.74</v>
      </c>
      <c r="I130" s="17" t="s">
        <v>267</v>
      </c>
      <c r="J130" s="17"/>
      <c r="K130" s="16" t="str">
        <f>HYPERLINK("http://slimages.macys.com/is/image/MCY/19905370 ")</f>
        <v xml:space="preserve">http://slimages.macys.com/is/image/MCY/19905370 </v>
      </c>
      <c r="L130" s="30"/>
    </row>
    <row r="131" spans="1:12" ht="60" x14ac:dyDescent="0.25">
      <c r="A131" s="19" t="s">
        <v>421</v>
      </c>
      <c r="B131" s="17" t="s">
        <v>420</v>
      </c>
      <c r="C131" s="20">
        <v>3</v>
      </c>
      <c r="D131" s="18">
        <v>49.99</v>
      </c>
      <c r="E131" s="20" t="s">
        <v>416</v>
      </c>
      <c r="F131" s="17" t="s">
        <v>390</v>
      </c>
      <c r="G131" s="19" t="s">
        <v>419</v>
      </c>
      <c r="H131" s="18">
        <v>12.6</v>
      </c>
      <c r="I131" s="17" t="s">
        <v>42</v>
      </c>
      <c r="J131" s="17"/>
      <c r="K131" s="16" t="str">
        <f>HYPERLINK("http://slimages.macys.com/is/image/MCY/18504830 ")</f>
        <v xml:space="preserve">http://slimages.macys.com/is/image/MCY/18504830 </v>
      </c>
      <c r="L131" s="30"/>
    </row>
    <row r="132" spans="1:12" ht="60" x14ac:dyDescent="0.25">
      <c r="A132" s="19" t="s">
        <v>418</v>
      </c>
      <c r="B132" s="17" t="s">
        <v>417</v>
      </c>
      <c r="C132" s="20">
        <v>2</v>
      </c>
      <c r="D132" s="18">
        <v>49.99</v>
      </c>
      <c r="E132" s="20" t="s">
        <v>416</v>
      </c>
      <c r="F132" s="17" t="s">
        <v>390</v>
      </c>
      <c r="G132" s="19"/>
      <c r="H132" s="18">
        <v>12.6</v>
      </c>
      <c r="I132" s="17" t="s">
        <v>42</v>
      </c>
      <c r="J132" s="17"/>
      <c r="K132" s="16" t="str">
        <f>HYPERLINK("http://slimages.macys.com/is/image/MCY/18504830 ")</f>
        <v xml:space="preserve">http://slimages.macys.com/is/image/MCY/18504830 </v>
      </c>
      <c r="L132" s="30"/>
    </row>
    <row r="133" spans="1:12" ht="60" x14ac:dyDescent="0.25">
      <c r="A133" s="19" t="s">
        <v>415</v>
      </c>
      <c r="B133" s="17" t="s">
        <v>414</v>
      </c>
      <c r="C133" s="20">
        <v>1</v>
      </c>
      <c r="D133" s="18">
        <v>59</v>
      </c>
      <c r="E133" s="20">
        <v>10812844</v>
      </c>
      <c r="F133" s="17" t="s">
        <v>413</v>
      </c>
      <c r="G133" s="19" t="s">
        <v>74</v>
      </c>
      <c r="H133" s="18">
        <v>12.193333333333333</v>
      </c>
      <c r="I133" s="17" t="s">
        <v>144</v>
      </c>
      <c r="J133" s="17"/>
      <c r="K133" s="16" t="str">
        <f>HYPERLINK("http://slimages.macys.com/is/image/MCY/19644183 ")</f>
        <v xml:space="preserve">http://slimages.macys.com/is/image/MCY/19644183 </v>
      </c>
      <c r="L133" s="30"/>
    </row>
    <row r="134" spans="1:12" ht="60" x14ac:dyDescent="0.25">
      <c r="A134" s="19" t="s">
        <v>412</v>
      </c>
      <c r="B134" s="17" t="s">
        <v>411</v>
      </c>
      <c r="C134" s="20">
        <v>1</v>
      </c>
      <c r="D134" s="18">
        <v>79</v>
      </c>
      <c r="E134" s="20" t="s">
        <v>410</v>
      </c>
      <c r="F134" s="17" t="s">
        <v>58</v>
      </c>
      <c r="G134" s="19" t="s">
        <v>69</v>
      </c>
      <c r="H134" s="18">
        <v>12</v>
      </c>
      <c r="I134" s="17" t="s">
        <v>148</v>
      </c>
      <c r="J134" s="17"/>
      <c r="K134" s="16" t="str">
        <f>HYPERLINK("http://slimages.macys.com/is/image/MCY/19301019 ")</f>
        <v xml:space="preserve">http://slimages.macys.com/is/image/MCY/19301019 </v>
      </c>
      <c r="L134" s="30"/>
    </row>
    <row r="135" spans="1:12" ht="60" x14ac:dyDescent="0.25">
      <c r="A135" s="19" t="s">
        <v>408</v>
      </c>
      <c r="B135" s="17" t="s">
        <v>407</v>
      </c>
      <c r="C135" s="20">
        <v>1</v>
      </c>
      <c r="D135" s="18">
        <v>79</v>
      </c>
      <c r="E135" s="20" t="s">
        <v>406</v>
      </c>
      <c r="F135" s="17" t="s">
        <v>330</v>
      </c>
      <c r="G135" s="19" t="s">
        <v>69</v>
      </c>
      <c r="H135" s="18">
        <v>12</v>
      </c>
      <c r="I135" s="17" t="s">
        <v>405</v>
      </c>
      <c r="J135" s="17"/>
      <c r="K135" s="16" t="str">
        <f>HYPERLINK("http://slimages.macys.com/is/image/MCY/11241182 ")</f>
        <v xml:space="preserve">http://slimages.macys.com/is/image/MCY/11241182 </v>
      </c>
      <c r="L135" s="30"/>
    </row>
    <row r="136" spans="1:12" ht="60" x14ac:dyDescent="0.25">
      <c r="A136" s="19" t="s">
        <v>403</v>
      </c>
      <c r="B136" s="17" t="s">
        <v>402</v>
      </c>
      <c r="C136" s="20">
        <v>1</v>
      </c>
      <c r="D136" s="18">
        <v>79</v>
      </c>
      <c r="E136" s="20" t="s">
        <v>401</v>
      </c>
      <c r="F136" s="17" t="s">
        <v>91</v>
      </c>
      <c r="G136" s="19" t="s">
        <v>351</v>
      </c>
      <c r="H136" s="18">
        <v>11.586666666666668</v>
      </c>
      <c r="I136" s="17" t="s">
        <v>138</v>
      </c>
      <c r="J136" s="17"/>
      <c r="K136" s="16" t="str">
        <f>HYPERLINK("http://slimages.macys.com/is/image/MCY/19341516 ")</f>
        <v xml:space="preserve">http://slimages.macys.com/is/image/MCY/19341516 </v>
      </c>
      <c r="L136" s="30"/>
    </row>
    <row r="137" spans="1:12" ht="60" x14ac:dyDescent="0.25">
      <c r="A137" s="19" t="s">
        <v>400</v>
      </c>
      <c r="B137" s="17" t="s">
        <v>399</v>
      </c>
      <c r="C137" s="20">
        <v>9</v>
      </c>
      <c r="D137" s="18">
        <v>69</v>
      </c>
      <c r="E137" s="20">
        <v>7039013</v>
      </c>
      <c r="F137" s="17" t="s">
        <v>390</v>
      </c>
      <c r="G137" s="19" t="s">
        <v>62</v>
      </c>
      <c r="H137" s="18">
        <v>11.500000000000002</v>
      </c>
      <c r="I137" s="17" t="s">
        <v>111</v>
      </c>
      <c r="J137" s="17" t="s">
        <v>388</v>
      </c>
      <c r="K137" s="16" t="str">
        <f>HYPERLINK("http://slimages.macys.com/is/image/MCY/12734453 ")</f>
        <v xml:space="preserve">http://slimages.macys.com/is/image/MCY/12734453 </v>
      </c>
      <c r="L137" s="30"/>
    </row>
    <row r="138" spans="1:12" ht="60" x14ac:dyDescent="0.25">
      <c r="A138" s="19" t="s">
        <v>398</v>
      </c>
      <c r="B138" s="17" t="s">
        <v>397</v>
      </c>
      <c r="C138" s="20">
        <v>1</v>
      </c>
      <c r="D138" s="18">
        <v>69</v>
      </c>
      <c r="E138" s="20">
        <v>7039013</v>
      </c>
      <c r="F138" s="17" t="s">
        <v>390</v>
      </c>
      <c r="G138" s="19" t="s">
        <v>101</v>
      </c>
      <c r="H138" s="18">
        <v>11.500000000000002</v>
      </c>
      <c r="I138" s="17" t="s">
        <v>111</v>
      </c>
      <c r="J138" s="17" t="s">
        <v>388</v>
      </c>
      <c r="K138" s="16" t="str">
        <f>HYPERLINK("http://slimages.macys.com/is/image/MCY/12734453 ")</f>
        <v xml:space="preserve">http://slimages.macys.com/is/image/MCY/12734453 </v>
      </c>
      <c r="L138" s="30"/>
    </row>
    <row r="139" spans="1:12" ht="60" x14ac:dyDescent="0.25">
      <c r="A139" s="19" t="s">
        <v>396</v>
      </c>
      <c r="B139" s="17" t="s">
        <v>395</v>
      </c>
      <c r="C139" s="20">
        <v>4</v>
      </c>
      <c r="D139" s="18">
        <v>69</v>
      </c>
      <c r="E139" s="20">
        <v>7039013</v>
      </c>
      <c r="F139" s="17" t="s">
        <v>390</v>
      </c>
      <c r="G139" s="19" t="s">
        <v>50</v>
      </c>
      <c r="H139" s="18">
        <v>11.500000000000002</v>
      </c>
      <c r="I139" s="17" t="s">
        <v>111</v>
      </c>
      <c r="J139" s="17" t="s">
        <v>388</v>
      </c>
      <c r="K139" s="16" t="str">
        <f>HYPERLINK("http://slimages.macys.com/is/image/MCY/12734453 ")</f>
        <v xml:space="preserve">http://slimages.macys.com/is/image/MCY/12734453 </v>
      </c>
      <c r="L139" s="30"/>
    </row>
    <row r="140" spans="1:12" ht="60" x14ac:dyDescent="0.25">
      <c r="A140" s="19" t="s">
        <v>394</v>
      </c>
      <c r="B140" s="17" t="s">
        <v>393</v>
      </c>
      <c r="C140" s="20">
        <v>13</v>
      </c>
      <c r="D140" s="18">
        <v>69</v>
      </c>
      <c r="E140" s="20">
        <v>7039013</v>
      </c>
      <c r="F140" s="17" t="s">
        <v>390</v>
      </c>
      <c r="G140" s="19" t="s">
        <v>17</v>
      </c>
      <c r="H140" s="18">
        <v>11.500000000000002</v>
      </c>
      <c r="I140" s="17" t="s">
        <v>111</v>
      </c>
      <c r="J140" s="17" t="s">
        <v>388</v>
      </c>
      <c r="K140" s="16" t="str">
        <f>HYPERLINK("http://slimages.macys.com/is/image/MCY/12734453 ")</f>
        <v xml:space="preserve">http://slimages.macys.com/is/image/MCY/12734453 </v>
      </c>
      <c r="L140" s="30"/>
    </row>
    <row r="141" spans="1:12" ht="60" x14ac:dyDescent="0.25">
      <c r="A141" s="19" t="s">
        <v>392</v>
      </c>
      <c r="B141" s="17" t="s">
        <v>391</v>
      </c>
      <c r="C141" s="20">
        <v>8</v>
      </c>
      <c r="D141" s="18">
        <v>69</v>
      </c>
      <c r="E141" s="20">
        <v>7039013</v>
      </c>
      <c r="F141" s="17" t="s">
        <v>390</v>
      </c>
      <c r="G141" s="19" t="s">
        <v>22</v>
      </c>
      <c r="H141" s="18">
        <v>11.500000000000002</v>
      </c>
      <c r="I141" s="17" t="s">
        <v>111</v>
      </c>
      <c r="J141" s="17" t="s">
        <v>388</v>
      </c>
      <c r="K141" s="16" t="str">
        <f>HYPERLINK("http://slimages.macys.com/is/image/MCY/12734453 ")</f>
        <v xml:space="preserve">http://slimages.macys.com/is/image/MCY/12734453 </v>
      </c>
      <c r="L141" s="30"/>
    </row>
    <row r="142" spans="1:12" ht="60" x14ac:dyDescent="0.25">
      <c r="A142" s="19" t="s">
        <v>387</v>
      </c>
      <c r="B142" s="17" t="s">
        <v>386</v>
      </c>
      <c r="C142" s="20">
        <v>1</v>
      </c>
      <c r="D142" s="18">
        <v>59.5</v>
      </c>
      <c r="E142" s="20" t="s">
        <v>381</v>
      </c>
      <c r="F142" s="17" t="s">
        <v>380</v>
      </c>
      <c r="G142" s="19" t="s">
        <v>74</v>
      </c>
      <c r="H142" s="18">
        <v>11.206666666666667</v>
      </c>
      <c r="I142" s="17" t="s">
        <v>68</v>
      </c>
      <c r="J142" s="17"/>
      <c r="K142" s="16" t="str">
        <f>HYPERLINK("http://slimages.macys.com/is/image/MCY/20101732 ")</f>
        <v xml:space="preserve">http://slimages.macys.com/is/image/MCY/20101732 </v>
      </c>
      <c r="L142" s="30"/>
    </row>
    <row r="143" spans="1:12" ht="60" x14ac:dyDescent="0.25">
      <c r="A143" s="19" t="s">
        <v>385</v>
      </c>
      <c r="B143" s="17" t="s">
        <v>384</v>
      </c>
      <c r="C143" s="20">
        <v>1</v>
      </c>
      <c r="D143" s="18">
        <v>59.5</v>
      </c>
      <c r="E143" s="20" t="s">
        <v>381</v>
      </c>
      <c r="F143" s="17" t="s">
        <v>380</v>
      </c>
      <c r="G143" s="19" t="s">
        <v>62</v>
      </c>
      <c r="H143" s="18">
        <v>11.206666666666667</v>
      </c>
      <c r="I143" s="17" t="s">
        <v>68</v>
      </c>
      <c r="J143" s="17"/>
      <c r="K143" s="16" t="str">
        <f>HYPERLINK("http://slimages.macys.com/is/image/MCY/20101732 ")</f>
        <v xml:space="preserve">http://slimages.macys.com/is/image/MCY/20101732 </v>
      </c>
      <c r="L143" s="30"/>
    </row>
    <row r="144" spans="1:12" ht="60" x14ac:dyDescent="0.25">
      <c r="A144" s="19" t="s">
        <v>383</v>
      </c>
      <c r="B144" s="17" t="s">
        <v>382</v>
      </c>
      <c r="C144" s="20">
        <v>1</v>
      </c>
      <c r="D144" s="18">
        <v>59.5</v>
      </c>
      <c r="E144" s="20" t="s">
        <v>381</v>
      </c>
      <c r="F144" s="17" t="s">
        <v>380</v>
      </c>
      <c r="G144" s="19" t="s">
        <v>69</v>
      </c>
      <c r="H144" s="18">
        <v>11.206666666666667</v>
      </c>
      <c r="I144" s="17" t="s">
        <v>68</v>
      </c>
      <c r="J144" s="17"/>
      <c r="K144" s="16" t="str">
        <f>HYPERLINK("http://slimages.macys.com/is/image/MCY/20101732 ")</f>
        <v xml:space="preserve">http://slimages.macys.com/is/image/MCY/20101732 </v>
      </c>
      <c r="L144" s="30"/>
    </row>
    <row r="145" spans="1:12" ht="60" x14ac:dyDescent="0.25">
      <c r="A145" s="19" t="s">
        <v>379</v>
      </c>
      <c r="B145" s="17" t="s">
        <v>378</v>
      </c>
      <c r="C145" s="20">
        <v>1</v>
      </c>
      <c r="D145" s="18">
        <v>59.5</v>
      </c>
      <c r="E145" s="20" t="s">
        <v>377</v>
      </c>
      <c r="F145" s="17" t="s">
        <v>63</v>
      </c>
      <c r="G145" s="19" t="s">
        <v>69</v>
      </c>
      <c r="H145" s="18">
        <v>11.206666666666667</v>
      </c>
      <c r="I145" s="17" t="s">
        <v>68</v>
      </c>
      <c r="J145" s="17"/>
      <c r="K145" s="16" t="str">
        <f>HYPERLINK("http://slimages.macys.com/is/image/MCY/20186998 ")</f>
        <v xml:space="preserve">http://slimages.macys.com/is/image/MCY/20186998 </v>
      </c>
      <c r="L145" s="30"/>
    </row>
    <row r="146" spans="1:12" ht="60" x14ac:dyDescent="0.25">
      <c r="A146" s="19" t="s">
        <v>376</v>
      </c>
      <c r="B146" s="17" t="s">
        <v>375</v>
      </c>
      <c r="C146" s="20">
        <v>1</v>
      </c>
      <c r="D146" s="18">
        <v>59.5</v>
      </c>
      <c r="E146" s="20" t="s">
        <v>374</v>
      </c>
      <c r="F146" s="17" t="s">
        <v>91</v>
      </c>
      <c r="G146" s="19" t="s">
        <v>197</v>
      </c>
      <c r="H146" s="18">
        <v>11.206666666666667</v>
      </c>
      <c r="I146" s="17" t="s">
        <v>56</v>
      </c>
      <c r="J146" s="17"/>
      <c r="K146" s="16" t="str">
        <f>HYPERLINK("http://slimages.macys.com/is/image/MCY/19367312 ")</f>
        <v xml:space="preserve">http://slimages.macys.com/is/image/MCY/19367312 </v>
      </c>
      <c r="L146" s="30"/>
    </row>
    <row r="147" spans="1:12" ht="60" x14ac:dyDescent="0.25">
      <c r="A147" s="19" t="s">
        <v>373</v>
      </c>
      <c r="B147" s="17" t="s">
        <v>372</v>
      </c>
      <c r="C147" s="20">
        <v>2</v>
      </c>
      <c r="D147" s="18">
        <v>59.5</v>
      </c>
      <c r="E147" s="20" t="s">
        <v>371</v>
      </c>
      <c r="F147" s="17" t="s">
        <v>206</v>
      </c>
      <c r="G147" s="19" t="s">
        <v>57</v>
      </c>
      <c r="H147" s="18">
        <v>11.206666666666667</v>
      </c>
      <c r="I147" s="17" t="s">
        <v>68</v>
      </c>
      <c r="J147" s="17"/>
      <c r="K147" s="16" t="str">
        <f>HYPERLINK("http://slimages.macys.com/is/image/MCY/20785300 ")</f>
        <v xml:space="preserve">http://slimages.macys.com/is/image/MCY/20785300 </v>
      </c>
      <c r="L147" s="30"/>
    </row>
    <row r="148" spans="1:12" ht="60" x14ac:dyDescent="0.25">
      <c r="A148" s="19" t="s">
        <v>370</v>
      </c>
      <c r="B148" s="17" t="s">
        <v>369</v>
      </c>
      <c r="C148" s="20">
        <v>1</v>
      </c>
      <c r="D148" s="18">
        <v>59.5</v>
      </c>
      <c r="E148" s="20" t="s">
        <v>368</v>
      </c>
      <c r="F148" s="17" t="s">
        <v>206</v>
      </c>
      <c r="G148" s="19" t="s">
        <v>69</v>
      </c>
      <c r="H148" s="18">
        <v>11.206666666666667</v>
      </c>
      <c r="I148" s="17" t="s">
        <v>56</v>
      </c>
      <c r="J148" s="17"/>
      <c r="K148" s="16" t="str">
        <f>HYPERLINK("http://slimages.macys.com/is/image/MCY/19019250 ")</f>
        <v xml:space="preserve">http://slimages.macys.com/is/image/MCY/19019250 </v>
      </c>
      <c r="L148" s="30"/>
    </row>
    <row r="149" spans="1:12" ht="60" x14ac:dyDescent="0.25">
      <c r="A149" s="19" t="s">
        <v>367</v>
      </c>
      <c r="B149" s="17" t="s">
        <v>366</v>
      </c>
      <c r="C149" s="20">
        <v>1</v>
      </c>
      <c r="D149" s="18">
        <v>59.5</v>
      </c>
      <c r="E149" s="20" t="s">
        <v>365</v>
      </c>
      <c r="F149" s="17" t="s">
        <v>206</v>
      </c>
      <c r="G149" s="19" t="s">
        <v>74</v>
      </c>
      <c r="H149" s="18">
        <v>11.2</v>
      </c>
      <c r="I149" s="17" t="s">
        <v>56</v>
      </c>
      <c r="J149" s="17"/>
      <c r="K149" s="16" t="str">
        <f>HYPERLINK("http://slimages.macys.com/is/image/MCY/18941576 ")</f>
        <v xml:space="preserve">http://slimages.macys.com/is/image/MCY/18941576 </v>
      </c>
      <c r="L149" s="30"/>
    </row>
    <row r="150" spans="1:12" ht="60" x14ac:dyDescent="0.25">
      <c r="A150" s="19" t="s">
        <v>364</v>
      </c>
      <c r="B150" s="17" t="s">
        <v>363</v>
      </c>
      <c r="C150" s="20">
        <v>1</v>
      </c>
      <c r="D150" s="18">
        <v>59.5</v>
      </c>
      <c r="E150" s="20" t="s">
        <v>362</v>
      </c>
      <c r="F150" s="17" t="s">
        <v>216</v>
      </c>
      <c r="G150" s="19" t="s">
        <v>69</v>
      </c>
      <c r="H150" s="18">
        <v>11.2</v>
      </c>
      <c r="I150" s="17" t="s">
        <v>68</v>
      </c>
      <c r="J150" s="17"/>
      <c r="K150" s="16" t="str">
        <f>HYPERLINK("http://slimages.macys.com/is/image/MCY/20101459 ")</f>
        <v xml:space="preserve">http://slimages.macys.com/is/image/MCY/20101459 </v>
      </c>
      <c r="L150" s="30"/>
    </row>
    <row r="151" spans="1:12" ht="60" x14ac:dyDescent="0.25">
      <c r="A151" s="19" t="s">
        <v>361</v>
      </c>
      <c r="B151" s="17" t="s">
        <v>360</v>
      </c>
      <c r="C151" s="20">
        <v>1</v>
      </c>
      <c r="D151" s="18">
        <v>44.25</v>
      </c>
      <c r="E151" s="20">
        <v>10802062</v>
      </c>
      <c r="F151" s="17" t="s">
        <v>359</v>
      </c>
      <c r="G151" s="19" t="s">
        <v>271</v>
      </c>
      <c r="H151" s="18">
        <v>11.153333333333334</v>
      </c>
      <c r="I151" s="17" t="s">
        <v>358</v>
      </c>
      <c r="J151" s="17"/>
      <c r="K151" s="16" t="str">
        <f>HYPERLINK("http://slimages.macys.com/is/image/MCY/19286658 ")</f>
        <v xml:space="preserve">http://slimages.macys.com/is/image/MCY/19286658 </v>
      </c>
      <c r="L151" s="30"/>
    </row>
    <row r="152" spans="1:12" ht="60" x14ac:dyDescent="0.25">
      <c r="A152" s="19" t="s">
        <v>357</v>
      </c>
      <c r="B152" s="17" t="s">
        <v>356</v>
      </c>
      <c r="C152" s="20">
        <v>1</v>
      </c>
      <c r="D152" s="18">
        <v>59.5</v>
      </c>
      <c r="E152" s="20" t="s">
        <v>355</v>
      </c>
      <c r="F152" s="17" t="s">
        <v>35</v>
      </c>
      <c r="G152" s="19" t="s">
        <v>197</v>
      </c>
      <c r="H152" s="18">
        <v>11.113333333333333</v>
      </c>
      <c r="I152" s="17" t="s">
        <v>68</v>
      </c>
      <c r="J152" s="17"/>
      <c r="K152" s="16" t="str">
        <f>HYPERLINK("http://slimages.macys.com/is/image/MCY/16686487 ")</f>
        <v xml:space="preserve">http://slimages.macys.com/is/image/MCY/16686487 </v>
      </c>
      <c r="L152" s="30"/>
    </row>
    <row r="153" spans="1:12" ht="60" x14ac:dyDescent="0.25">
      <c r="A153" s="19" t="s">
        <v>354</v>
      </c>
      <c r="B153" s="17" t="s">
        <v>353</v>
      </c>
      <c r="C153" s="20">
        <v>9</v>
      </c>
      <c r="D153" s="18">
        <v>59.5</v>
      </c>
      <c r="E153" s="20" t="s">
        <v>352</v>
      </c>
      <c r="F153" s="17" t="s">
        <v>51</v>
      </c>
      <c r="G153" s="19" t="s">
        <v>351</v>
      </c>
      <c r="H153" s="18">
        <v>10.906666666666666</v>
      </c>
      <c r="I153" s="17" t="s">
        <v>267</v>
      </c>
      <c r="J153" s="17"/>
      <c r="K153" s="16" t="str">
        <f>HYPERLINK("http://slimages.macys.com/is/image/MCY/19903991 ")</f>
        <v xml:space="preserve">http://slimages.macys.com/is/image/MCY/19903991 </v>
      </c>
      <c r="L153" s="30"/>
    </row>
    <row r="154" spans="1:12" ht="60" x14ac:dyDescent="0.25">
      <c r="A154" s="19" t="s">
        <v>350</v>
      </c>
      <c r="B154" s="17" t="s">
        <v>349</v>
      </c>
      <c r="C154" s="20">
        <v>1</v>
      </c>
      <c r="D154" s="18">
        <v>49</v>
      </c>
      <c r="E154" s="20" t="s">
        <v>52</v>
      </c>
      <c r="F154" s="17" t="s">
        <v>140</v>
      </c>
      <c r="G154" s="19" t="s">
        <v>101</v>
      </c>
      <c r="H154" s="18">
        <v>10.813333333333334</v>
      </c>
      <c r="I154" s="17" t="s">
        <v>49</v>
      </c>
      <c r="J154" s="17"/>
      <c r="K154" s="16" t="str">
        <f>HYPERLINK("http://slimages.macys.com/is/image/MCY/19193563 ")</f>
        <v xml:space="preserve">http://slimages.macys.com/is/image/MCY/19193563 </v>
      </c>
      <c r="L154" s="30"/>
    </row>
    <row r="155" spans="1:12" ht="60" x14ac:dyDescent="0.25">
      <c r="A155" s="19" t="s">
        <v>348</v>
      </c>
      <c r="B155" s="17" t="s">
        <v>347</v>
      </c>
      <c r="C155" s="20">
        <v>1</v>
      </c>
      <c r="D155" s="18">
        <v>49</v>
      </c>
      <c r="E155" s="20" t="s">
        <v>346</v>
      </c>
      <c r="F155" s="17" t="s">
        <v>345</v>
      </c>
      <c r="G155" s="19" t="s">
        <v>50</v>
      </c>
      <c r="H155" s="18">
        <v>10.813333333333334</v>
      </c>
      <c r="I155" s="17" t="s">
        <v>49</v>
      </c>
      <c r="J155" s="17"/>
      <c r="K155" s="16" t="str">
        <f>HYPERLINK("http://slimages.macys.com/is/image/MCY/19349092 ")</f>
        <v xml:space="preserve">http://slimages.macys.com/is/image/MCY/19349092 </v>
      </c>
      <c r="L155" s="30"/>
    </row>
    <row r="156" spans="1:12" ht="60" x14ac:dyDescent="0.25">
      <c r="A156" s="19" t="s">
        <v>344</v>
      </c>
      <c r="B156" s="17" t="s">
        <v>343</v>
      </c>
      <c r="C156" s="20">
        <v>1</v>
      </c>
      <c r="D156" s="18">
        <v>49</v>
      </c>
      <c r="E156" s="20" t="s">
        <v>52</v>
      </c>
      <c r="F156" s="17" t="s">
        <v>282</v>
      </c>
      <c r="G156" s="19" t="s">
        <v>62</v>
      </c>
      <c r="H156" s="18">
        <v>10.813333333333334</v>
      </c>
      <c r="I156" s="17" t="s">
        <v>49</v>
      </c>
      <c r="J156" s="17"/>
      <c r="K156" s="16" t="str">
        <f>HYPERLINK("http://slimages.macys.com/is/image/MCY/19176753 ")</f>
        <v xml:space="preserve">http://slimages.macys.com/is/image/MCY/19176753 </v>
      </c>
      <c r="L156" s="30"/>
    </row>
    <row r="157" spans="1:12" ht="60" x14ac:dyDescent="0.25">
      <c r="A157" s="19" t="s">
        <v>342</v>
      </c>
      <c r="B157" s="17" t="s">
        <v>341</v>
      </c>
      <c r="C157" s="20">
        <v>3</v>
      </c>
      <c r="D157" s="18">
        <v>49</v>
      </c>
      <c r="E157" s="20" t="s">
        <v>340</v>
      </c>
      <c r="F157" s="17" t="s">
        <v>339</v>
      </c>
      <c r="G157" s="19" t="s">
        <v>22</v>
      </c>
      <c r="H157" s="18">
        <v>10.813333333333334</v>
      </c>
      <c r="I157" s="17" t="s">
        <v>49</v>
      </c>
      <c r="J157" s="17"/>
      <c r="K157" s="16" t="str">
        <f>HYPERLINK("http://slimages.macys.com/is/image/MCY/19476811 ")</f>
        <v xml:space="preserve">http://slimages.macys.com/is/image/MCY/19476811 </v>
      </c>
      <c r="L157" s="30"/>
    </row>
    <row r="158" spans="1:12" ht="60" x14ac:dyDescent="0.25">
      <c r="A158" s="19" t="s">
        <v>338</v>
      </c>
      <c r="B158" s="17" t="s">
        <v>337</v>
      </c>
      <c r="C158" s="20">
        <v>1</v>
      </c>
      <c r="D158" s="18">
        <v>49</v>
      </c>
      <c r="E158" s="20" t="s">
        <v>327</v>
      </c>
      <c r="F158" s="17" t="s">
        <v>216</v>
      </c>
      <c r="G158" s="19" t="s">
        <v>101</v>
      </c>
      <c r="H158" s="18">
        <v>10.813333333333334</v>
      </c>
      <c r="I158" s="17" t="s">
        <v>49</v>
      </c>
      <c r="J158" s="17"/>
      <c r="K158" s="16" t="str">
        <f>HYPERLINK("http://slimages.macys.com/is/image/MCY/18254944 ")</f>
        <v xml:space="preserve">http://slimages.macys.com/is/image/MCY/18254944 </v>
      </c>
      <c r="L158" s="30"/>
    </row>
    <row r="159" spans="1:12" ht="60" x14ac:dyDescent="0.25">
      <c r="A159" s="19" t="s">
        <v>336</v>
      </c>
      <c r="B159" s="17" t="s">
        <v>335</v>
      </c>
      <c r="C159" s="20">
        <v>1</v>
      </c>
      <c r="D159" s="18">
        <v>49</v>
      </c>
      <c r="E159" s="20" t="s">
        <v>334</v>
      </c>
      <c r="F159" s="17" t="s">
        <v>23</v>
      </c>
      <c r="G159" s="19" t="s">
        <v>50</v>
      </c>
      <c r="H159" s="18">
        <v>10.813333333333334</v>
      </c>
      <c r="I159" s="17" t="s">
        <v>49</v>
      </c>
      <c r="J159" s="17"/>
      <c r="K159" s="16" t="str">
        <f>HYPERLINK("http://slimages.macys.com/is/image/MCY/18510241 ")</f>
        <v xml:space="preserve">http://slimages.macys.com/is/image/MCY/18510241 </v>
      </c>
      <c r="L159" s="30"/>
    </row>
    <row r="160" spans="1:12" ht="60" x14ac:dyDescent="0.25">
      <c r="A160" s="19" t="s">
        <v>333</v>
      </c>
      <c r="B160" s="17" t="s">
        <v>332</v>
      </c>
      <c r="C160" s="20">
        <v>1</v>
      </c>
      <c r="D160" s="18">
        <v>49</v>
      </c>
      <c r="E160" s="20" t="s">
        <v>331</v>
      </c>
      <c r="F160" s="17" t="s">
        <v>330</v>
      </c>
      <c r="G160" s="19" t="s">
        <v>17</v>
      </c>
      <c r="H160" s="18">
        <v>10.813333333333334</v>
      </c>
      <c r="I160" s="17" t="s">
        <v>49</v>
      </c>
      <c r="J160" s="17"/>
      <c r="K160" s="16" t="str">
        <f>HYPERLINK("http://slimages.macys.com/is/image/MCY/19635002 ")</f>
        <v xml:space="preserve">http://slimages.macys.com/is/image/MCY/19635002 </v>
      </c>
      <c r="L160" s="30"/>
    </row>
    <row r="161" spans="1:12" ht="60" x14ac:dyDescent="0.25">
      <c r="A161" s="19" t="s">
        <v>329</v>
      </c>
      <c r="B161" s="17" t="s">
        <v>328</v>
      </c>
      <c r="C161" s="20">
        <v>1</v>
      </c>
      <c r="D161" s="18">
        <v>49</v>
      </c>
      <c r="E161" s="20" t="s">
        <v>327</v>
      </c>
      <c r="F161" s="17" t="s">
        <v>216</v>
      </c>
      <c r="G161" s="19" t="s">
        <v>17</v>
      </c>
      <c r="H161" s="18">
        <v>10.813333333333334</v>
      </c>
      <c r="I161" s="17" t="s">
        <v>49</v>
      </c>
      <c r="J161" s="17"/>
      <c r="K161" s="16" t="str">
        <f>HYPERLINK("http://slimages.macys.com/is/image/MCY/18254944 ")</f>
        <v xml:space="preserve">http://slimages.macys.com/is/image/MCY/18254944 </v>
      </c>
      <c r="L161" s="30"/>
    </row>
    <row r="162" spans="1:12" ht="60" x14ac:dyDescent="0.25">
      <c r="A162" s="19" t="s">
        <v>326</v>
      </c>
      <c r="B162" s="17" t="s">
        <v>325</v>
      </c>
      <c r="C162" s="20">
        <v>1</v>
      </c>
      <c r="D162" s="18">
        <v>41.3</v>
      </c>
      <c r="E162" s="20" t="s">
        <v>324</v>
      </c>
      <c r="F162" s="17" t="s">
        <v>58</v>
      </c>
      <c r="G162" s="19" t="s">
        <v>69</v>
      </c>
      <c r="H162" s="18">
        <v>10.773333333333335</v>
      </c>
      <c r="I162" s="17" t="s">
        <v>42</v>
      </c>
      <c r="J162" s="17"/>
      <c r="K162" s="16" t="str">
        <f>HYPERLINK("http://slimages.macys.com/is/image/MCY/18757201 ")</f>
        <v xml:space="preserve">http://slimages.macys.com/is/image/MCY/18757201 </v>
      </c>
      <c r="L162" s="30"/>
    </row>
    <row r="163" spans="1:12" ht="60" x14ac:dyDescent="0.25">
      <c r="A163" s="19" t="s">
        <v>323</v>
      </c>
      <c r="B163" s="17" t="s">
        <v>322</v>
      </c>
      <c r="C163" s="20">
        <v>1</v>
      </c>
      <c r="D163" s="18">
        <v>35</v>
      </c>
      <c r="E163" s="20" t="s">
        <v>321</v>
      </c>
      <c r="F163" s="17" t="s">
        <v>23</v>
      </c>
      <c r="G163" s="19" t="s">
        <v>22</v>
      </c>
      <c r="H163" s="18">
        <v>10.633333333333333</v>
      </c>
      <c r="I163" s="17" t="s">
        <v>16</v>
      </c>
      <c r="J163" s="17"/>
      <c r="K163" s="16" t="str">
        <f>HYPERLINK("http://slimages.macys.com/is/image/MCY/18863282 ")</f>
        <v xml:space="preserve">http://slimages.macys.com/is/image/MCY/18863282 </v>
      </c>
      <c r="L163" s="30"/>
    </row>
    <row r="164" spans="1:12" ht="60" x14ac:dyDescent="0.25">
      <c r="A164" s="19" t="s">
        <v>320</v>
      </c>
      <c r="B164" s="17" t="s">
        <v>319</v>
      </c>
      <c r="C164" s="20">
        <v>1</v>
      </c>
      <c r="D164" s="18">
        <v>35</v>
      </c>
      <c r="E164" s="20" t="s">
        <v>318</v>
      </c>
      <c r="F164" s="17" t="s">
        <v>23</v>
      </c>
      <c r="G164" s="19" t="s">
        <v>22</v>
      </c>
      <c r="H164" s="18">
        <v>10.633333333333333</v>
      </c>
      <c r="I164" s="17" t="s">
        <v>16</v>
      </c>
      <c r="J164" s="17"/>
      <c r="K164" s="16" t="str">
        <f>HYPERLINK("http://slimages.macys.com/is/image/MCY/18798857 ")</f>
        <v xml:space="preserve">http://slimages.macys.com/is/image/MCY/18798857 </v>
      </c>
      <c r="L164" s="30"/>
    </row>
    <row r="165" spans="1:12" ht="60" x14ac:dyDescent="0.25">
      <c r="A165" s="19" t="s">
        <v>317</v>
      </c>
      <c r="B165" s="17" t="s">
        <v>316</v>
      </c>
      <c r="C165" s="20">
        <v>1</v>
      </c>
      <c r="D165" s="18">
        <v>69</v>
      </c>
      <c r="E165" s="20">
        <v>2321007</v>
      </c>
      <c r="F165" s="17" t="s">
        <v>23</v>
      </c>
      <c r="G165" s="19" t="s">
        <v>17</v>
      </c>
      <c r="H165" s="18">
        <v>10</v>
      </c>
      <c r="I165" s="17" t="s">
        <v>80</v>
      </c>
      <c r="J165" s="17"/>
      <c r="K165" s="16" t="str">
        <f>HYPERLINK("http://slimages.macys.com/is/image/MCY/19147763 ")</f>
        <v xml:space="preserve">http://slimages.macys.com/is/image/MCY/19147763 </v>
      </c>
      <c r="L165" s="30"/>
    </row>
    <row r="166" spans="1:12" ht="60" x14ac:dyDescent="0.25">
      <c r="A166" s="19" t="s">
        <v>315</v>
      </c>
      <c r="B166" s="17" t="s">
        <v>314</v>
      </c>
      <c r="C166" s="20">
        <v>3</v>
      </c>
      <c r="D166" s="18">
        <v>69</v>
      </c>
      <c r="E166" s="20">
        <v>2321007</v>
      </c>
      <c r="F166" s="17" t="s">
        <v>23</v>
      </c>
      <c r="G166" s="19" t="s">
        <v>313</v>
      </c>
      <c r="H166" s="18">
        <v>10</v>
      </c>
      <c r="I166" s="17" t="s">
        <v>80</v>
      </c>
      <c r="J166" s="17"/>
      <c r="K166" s="16" t="str">
        <f>HYPERLINK("http://slimages.macys.com/is/image/MCY/19147810 ")</f>
        <v xml:space="preserve">http://slimages.macys.com/is/image/MCY/19147810 </v>
      </c>
      <c r="L166" s="30"/>
    </row>
    <row r="167" spans="1:12" ht="60" x14ac:dyDescent="0.25">
      <c r="A167" s="19" t="s">
        <v>312</v>
      </c>
      <c r="B167" s="17" t="s">
        <v>311</v>
      </c>
      <c r="C167" s="20">
        <v>1</v>
      </c>
      <c r="D167" s="18">
        <v>59.5</v>
      </c>
      <c r="E167" s="20" t="s">
        <v>310</v>
      </c>
      <c r="F167" s="17" t="s">
        <v>51</v>
      </c>
      <c r="G167" s="19" t="s">
        <v>57</v>
      </c>
      <c r="H167" s="18">
        <v>9.9733333333333345</v>
      </c>
      <c r="I167" s="17" t="s">
        <v>106</v>
      </c>
      <c r="J167" s="17"/>
      <c r="K167" s="16" t="str">
        <f>HYPERLINK("http://slimages.macys.com/is/image/MCY/18651073 ")</f>
        <v xml:space="preserve">http://slimages.macys.com/is/image/MCY/18651073 </v>
      </c>
      <c r="L167" s="30"/>
    </row>
    <row r="168" spans="1:12" ht="60" x14ac:dyDescent="0.25">
      <c r="A168" s="19" t="s">
        <v>309</v>
      </c>
      <c r="B168" s="17" t="s">
        <v>308</v>
      </c>
      <c r="C168" s="20">
        <v>1</v>
      </c>
      <c r="D168" s="18">
        <v>44</v>
      </c>
      <c r="E168" s="20" t="s">
        <v>305</v>
      </c>
      <c r="F168" s="17" t="s">
        <v>216</v>
      </c>
      <c r="G168" s="19" t="s">
        <v>50</v>
      </c>
      <c r="H168" s="18">
        <v>9.706666666666667</v>
      </c>
      <c r="I168" s="17" t="s">
        <v>49</v>
      </c>
      <c r="J168" s="17"/>
      <c r="K168" s="16" t="str">
        <f>HYPERLINK("http://slimages.macys.com/is/image/MCY/19379386 ")</f>
        <v xml:space="preserve">http://slimages.macys.com/is/image/MCY/19379386 </v>
      </c>
      <c r="L168" s="30"/>
    </row>
    <row r="169" spans="1:12" ht="60" x14ac:dyDescent="0.25">
      <c r="A169" s="19" t="s">
        <v>307</v>
      </c>
      <c r="B169" s="17" t="s">
        <v>306</v>
      </c>
      <c r="C169" s="20">
        <v>1</v>
      </c>
      <c r="D169" s="18">
        <v>44</v>
      </c>
      <c r="E169" s="20" t="s">
        <v>305</v>
      </c>
      <c r="F169" s="17" t="s">
        <v>216</v>
      </c>
      <c r="G169" s="19" t="s">
        <v>62</v>
      </c>
      <c r="H169" s="18">
        <v>9.706666666666667</v>
      </c>
      <c r="I169" s="17" t="s">
        <v>49</v>
      </c>
      <c r="J169" s="17"/>
      <c r="K169" s="16" t="str">
        <f>HYPERLINK("http://slimages.macys.com/is/image/MCY/19379386 ")</f>
        <v xml:space="preserve">http://slimages.macys.com/is/image/MCY/19379386 </v>
      </c>
      <c r="L169" s="30"/>
    </row>
    <row r="170" spans="1:12" ht="60" x14ac:dyDescent="0.25">
      <c r="A170" s="19" t="s">
        <v>304</v>
      </c>
      <c r="B170" s="17" t="s">
        <v>303</v>
      </c>
      <c r="C170" s="20">
        <v>1</v>
      </c>
      <c r="D170" s="18">
        <v>44</v>
      </c>
      <c r="E170" s="20" t="s">
        <v>302</v>
      </c>
      <c r="F170" s="17" t="s">
        <v>23</v>
      </c>
      <c r="G170" s="19" t="s">
        <v>62</v>
      </c>
      <c r="H170" s="18">
        <v>9.706666666666667</v>
      </c>
      <c r="I170" s="17" t="s">
        <v>49</v>
      </c>
      <c r="J170" s="17"/>
      <c r="K170" s="16" t="str">
        <f>HYPERLINK("http://slimages.macys.com/is/image/MCY/19352470 ")</f>
        <v xml:space="preserve">http://slimages.macys.com/is/image/MCY/19352470 </v>
      </c>
      <c r="L170" s="30"/>
    </row>
    <row r="171" spans="1:12" ht="60" x14ac:dyDescent="0.25">
      <c r="A171" s="19" t="s">
        <v>301</v>
      </c>
      <c r="B171" s="17" t="s">
        <v>300</v>
      </c>
      <c r="C171" s="20">
        <v>16</v>
      </c>
      <c r="D171" s="18">
        <v>59</v>
      </c>
      <c r="E171" s="20">
        <v>2360008</v>
      </c>
      <c r="F171" s="17" t="s">
        <v>91</v>
      </c>
      <c r="G171" s="19" t="s">
        <v>62</v>
      </c>
      <c r="H171" s="18">
        <v>9.44</v>
      </c>
      <c r="I171" s="17" t="s">
        <v>80</v>
      </c>
      <c r="J171" s="17"/>
      <c r="K171" s="16" t="str">
        <f>HYPERLINK("http://slimages.macys.com/is/image/MCY/18256323 ")</f>
        <v xml:space="preserve">http://slimages.macys.com/is/image/MCY/18256323 </v>
      </c>
      <c r="L171" s="30"/>
    </row>
    <row r="172" spans="1:12" ht="60" x14ac:dyDescent="0.25">
      <c r="A172" s="19" t="s">
        <v>299</v>
      </c>
      <c r="B172" s="17" t="s">
        <v>298</v>
      </c>
      <c r="C172" s="20">
        <v>15</v>
      </c>
      <c r="D172" s="18">
        <v>59</v>
      </c>
      <c r="E172" s="20">
        <v>2360008</v>
      </c>
      <c r="F172" s="17" t="s">
        <v>91</v>
      </c>
      <c r="G172" s="19" t="s">
        <v>17</v>
      </c>
      <c r="H172" s="18">
        <v>9.44</v>
      </c>
      <c r="I172" s="17" t="s">
        <v>80</v>
      </c>
      <c r="J172" s="17"/>
      <c r="K172" s="16" t="str">
        <f>HYPERLINK("http://slimages.macys.com/is/image/MCY/18256323 ")</f>
        <v xml:space="preserve">http://slimages.macys.com/is/image/MCY/18256323 </v>
      </c>
      <c r="L172" s="30"/>
    </row>
    <row r="173" spans="1:12" ht="60" x14ac:dyDescent="0.25">
      <c r="A173" s="19" t="s">
        <v>297</v>
      </c>
      <c r="B173" s="17" t="s">
        <v>296</v>
      </c>
      <c r="C173" s="20">
        <v>8</v>
      </c>
      <c r="D173" s="18">
        <v>59</v>
      </c>
      <c r="E173" s="20">
        <v>2360008</v>
      </c>
      <c r="F173" s="17" t="s">
        <v>91</v>
      </c>
      <c r="G173" s="19" t="s">
        <v>43</v>
      </c>
      <c r="H173" s="18">
        <v>9.44</v>
      </c>
      <c r="I173" s="17" t="s">
        <v>80</v>
      </c>
      <c r="J173" s="17"/>
      <c r="K173" s="16" t="str">
        <f>HYPERLINK("http://slimages.macys.com/is/image/MCY/18256323 ")</f>
        <v xml:space="preserve">http://slimages.macys.com/is/image/MCY/18256323 </v>
      </c>
      <c r="L173" s="30"/>
    </row>
    <row r="174" spans="1:12" ht="60" x14ac:dyDescent="0.25">
      <c r="A174" s="19" t="s">
        <v>295</v>
      </c>
      <c r="B174" s="17" t="s">
        <v>294</v>
      </c>
      <c r="C174" s="20">
        <v>1</v>
      </c>
      <c r="D174" s="18">
        <v>59</v>
      </c>
      <c r="E174" s="20">
        <v>2331830</v>
      </c>
      <c r="F174" s="17" t="s">
        <v>63</v>
      </c>
      <c r="G174" s="19" t="s">
        <v>17</v>
      </c>
      <c r="H174" s="18">
        <v>9.3333333333333339</v>
      </c>
      <c r="I174" s="17" t="s">
        <v>80</v>
      </c>
      <c r="J174" s="17"/>
      <c r="K174" s="16" t="str">
        <f>HYPERLINK("http://slimages.macys.com/is/image/MCY/19226187 ")</f>
        <v xml:space="preserve">http://slimages.macys.com/is/image/MCY/19226187 </v>
      </c>
      <c r="L174" s="30"/>
    </row>
    <row r="175" spans="1:12" ht="60" x14ac:dyDescent="0.25">
      <c r="A175" s="19" t="s">
        <v>292</v>
      </c>
      <c r="B175" s="17" t="s">
        <v>291</v>
      </c>
      <c r="C175" s="20">
        <v>4</v>
      </c>
      <c r="D175" s="18">
        <v>49.5</v>
      </c>
      <c r="E175" s="20" t="s">
        <v>283</v>
      </c>
      <c r="F175" s="17" t="s">
        <v>58</v>
      </c>
      <c r="G175" s="19" t="s">
        <v>57</v>
      </c>
      <c r="H175" s="18">
        <v>9.32</v>
      </c>
      <c r="I175" s="17" t="s">
        <v>56</v>
      </c>
      <c r="J175" s="17"/>
      <c r="K175" s="16" t="str">
        <f>HYPERLINK("http://slimages.macys.com/is/image/MCY/19395237 ")</f>
        <v xml:space="preserve">http://slimages.macys.com/is/image/MCY/19395237 </v>
      </c>
      <c r="L175" s="30"/>
    </row>
    <row r="176" spans="1:12" ht="60" x14ac:dyDescent="0.25">
      <c r="A176" s="19" t="s">
        <v>290</v>
      </c>
      <c r="B176" s="17" t="s">
        <v>289</v>
      </c>
      <c r="C176" s="20">
        <v>1</v>
      </c>
      <c r="D176" s="18">
        <v>49.5</v>
      </c>
      <c r="E176" s="20" t="s">
        <v>286</v>
      </c>
      <c r="F176" s="17" t="s">
        <v>91</v>
      </c>
      <c r="G176" s="19" t="s">
        <v>57</v>
      </c>
      <c r="H176" s="18">
        <v>9.32</v>
      </c>
      <c r="I176" s="17" t="s">
        <v>56</v>
      </c>
      <c r="J176" s="17"/>
      <c r="K176" s="16" t="str">
        <f>HYPERLINK("http://slimages.macys.com/is/image/MCY/16687507 ")</f>
        <v xml:space="preserve">http://slimages.macys.com/is/image/MCY/16687507 </v>
      </c>
      <c r="L176" s="30"/>
    </row>
    <row r="177" spans="1:12" ht="60" x14ac:dyDescent="0.25">
      <c r="A177" s="19" t="s">
        <v>288</v>
      </c>
      <c r="B177" s="17" t="s">
        <v>287</v>
      </c>
      <c r="C177" s="20">
        <v>1</v>
      </c>
      <c r="D177" s="18">
        <v>49.5</v>
      </c>
      <c r="E177" s="20" t="s">
        <v>286</v>
      </c>
      <c r="F177" s="17" t="s">
        <v>63</v>
      </c>
      <c r="G177" s="19" t="s">
        <v>57</v>
      </c>
      <c r="H177" s="18">
        <v>9.32</v>
      </c>
      <c r="I177" s="17" t="s">
        <v>56</v>
      </c>
      <c r="J177" s="17"/>
      <c r="K177" s="16" t="str">
        <f>HYPERLINK("http://slimages.macys.com/is/image/MCY/16687507 ")</f>
        <v xml:space="preserve">http://slimages.macys.com/is/image/MCY/16687507 </v>
      </c>
      <c r="L177" s="30"/>
    </row>
    <row r="178" spans="1:12" ht="60" x14ac:dyDescent="0.25">
      <c r="A178" s="19" t="s">
        <v>285</v>
      </c>
      <c r="B178" s="17" t="s">
        <v>284</v>
      </c>
      <c r="C178" s="20">
        <v>1</v>
      </c>
      <c r="D178" s="18">
        <v>49.5</v>
      </c>
      <c r="E178" s="20" t="s">
        <v>283</v>
      </c>
      <c r="F178" s="17" t="s">
        <v>282</v>
      </c>
      <c r="G178" s="19" t="s">
        <v>69</v>
      </c>
      <c r="H178" s="18">
        <v>9.32</v>
      </c>
      <c r="I178" s="17" t="s">
        <v>56</v>
      </c>
      <c r="J178" s="17"/>
      <c r="K178" s="16" t="str">
        <f>HYPERLINK("http://slimages.macys.com/is/image/MCY/19395237 ")</f>
        <v xml:space="preserve">http://slimages.macys.com/is/image/MCY/19395237 </v>
      </c>
      <c r="L178" s="30"/>
    </row>
    <row r="179" spans="1:12" ht="60" x14ac:dyDescent="0.25">
      <c r="A179" s="19" t="s">
        <v>281</v>
      </c>
      <c r="B179" s="17" t="s">
        <v>280</v>
      </c>
      <c r="C179" s="20">
        <v>1</v>
      </c>
      <c r="D179" s="18">
        <v>35</v>
      </c>
      <c r="E179" s="20" t="s">
        <v>279</v>
      </c>
      <c r="F179" s="17" t="s">
        <v>51</v>
      </c>
      <c r="G179" s="19" t="s">
        <v>22</v>
      </c>
      <c r="H179" s="18">
        <v>9.2533333333333339</v>
      </c>
      <c r="I179" s="17" t="s">
        <v>16</v>
      </c>
      <c r="J179" s="17"/>
      <c r="K179" s="16" t="str">
        <f>HYPERLINK("http://slimages.macys.com/is/image/MCY/19026313 ")</f>
        <v xml:space="preserve">http://slimages.macys.com/is/image/MCY/19026313 </v>
      </c>
      <c r="L179" s="30"/>
    </row>
    <row r="180" spans="1:12" ht="60" x14ac:dyDescent="0.25">
      <c r="A180" s="19" t="s">
        <v>278</v>
      </c>
      <c r="B180" s="17" t="s">
        <v>277</v>
      </c>
      <c r="C180" s="20">
        <v>1</v>
      </c>
      <c r="D180" s="18">
        <v>49.5</v>
      </c>
      <c r="E180" s="20" t="s">
        <v>276</v>
      </c>
      <c r="F180" s="17" t="s">
        <v>51</v>
      </c>
      <c r="G180" s="19" t="s">
        <v>271</v>
      </c>
      <c r="H180" s="18">
        <v>9.0733333333333341</v>
      </c>
      <c r="I180" s="17" t="s">
        <v>267</v>
      </c>
      <c r="J180" s="17"/>
      <c r="K180" s="16" t="str">
        <f>HYPERLINK("http://slimages.macys.com/is/image/MCY/19268965 ")</f>
        <v xml:space="preserve">http://slimages.macys.com/is/image/MCY/19268965 </v>
      </c>
      <c r="L180" s="30"/>
    </row>
    <row r="181" spans="1:12" ht="60" x14ac:dyDescent="0.25">
      <c r="A181" s="19" t="s">
        <v>275</v>
      </c>
      <c r="B181" s="17" t="s">
        <v>274</v>
      </c>
      <c r="C181" s="20">
        <v>1</v>
      </c>
      <c r="D181" s="18">
        <v>49.5</v>
      </c>
      <c r="E181" s="20" t="s">
        <v>273</v>
      </c>
      <c r="F181" s="17" t="s">
        <v>272</v>
      </c>
      <c r="G181" s="19" t="s">
        <v>271</v>
      </c>
      <c r="H181" s="18">
        <v>9.0733333333333341</v>
      </c>
      <c r="I181" s="17" t="s">
        <v>267</v>
      </c>
      <c r="J181" s="17"/>
      <c r="K181" s="16" t="str">
        <f>HYPERLINK("http://slimages.macys.com/is/image/MCY/18831883 ")</f>
        <v xml:space="preserve">http://slimages.macys.com/is/image/MCY/18831883 </v>
      </c>
      <c r="L181" s="30"/>
    </row>
    <row r="182" spans="1:12" ht="60" x14ac:dyDescent="0.25">
      <c r="A182" s="19" t="s">
        <v>270</v>
      </c>
      <c r="B182" s="17" t="s">
        <v>269</v>
      </c>
      <c r="C182" s="20">
        <v>9</v>
      </c>
      <c r="D182" s="18">
        <v>49.5</v>
      </c>
      <c r="E182" s="20" t="s">
        <v>268</v>
      </c>
      <c r="F182" s="17" t="s">
        <v>51</v>
      </c>
      <c r="G182" s="19" t="s">
        <v>139</v>
      </c>
      <c r="H182" s="18">
        <v>9.0733333333333341</v>
      </c>
      <c r="I182" s="17" t="s">
        <v>267</v>
      </c>
      <c r="J182" s="17"/>
      <c r="K182" s="16" t="str">
        <f>HYPERLINK("http://slimages.macys.com/is/image/MCY/20486044 ")</f>
        <v xml:space="preserve">http://slimages.macys.com/is/image/MCY/20486044 </v>
      </c>
      <c r="L182" s="30"/>
    </row>
    <row r="183" spans="1:12" ht="60" x14ac:dyDescent="0.25">
      <c r="A183" s="19" t="s">
        <v>266</v>
      </c>
      <c r="B183" s="17" t="s">
        <v>265</v>
      </c>
      <c r="C183" s="20">
        <v>1</v>
      </c>
      <c r="D183" s="18">
        <v>48</v>
      </c>
      <c r="E183" s="20" t="s">
        <v>264</v>
      </c>
      <c r="F183" s="17" t="s">
        <v>263</v>
      </c>
      <c r="G183" s="19" t="s">
        <v>197</v>
      </c>
      <c r="H183" s="18">
        <v>8.9600000000000009</v>
      </c>
      <c r="I183" s="17" t="s">
        <v>80</v>
      </c>
      <c r="J183" s="17"/>
      <c r="K183" s="16" t="str">
        <f>HYPERLINK("http://slimages.macys.com/is/image/MCY/18940894 ")</f>
        <v xml:space="preserve">http://slimages.macys.com/is/image/MCY/18940894 </v>
      </c>
      <c r="L183" s="30"/>
    </row>
    <row r="184" spans="1:12" ht="60" x14ac:dyDescent="0.25">
      <c r="A184" s="19" t="s">
        <v>262</v>
      </c>
      <c r="B184" s="17" t="s">
        <v>261</v>
      </c>
      <c r="C184" s="20">
        <v>1</v>
      </c>
      <c r="D184" s="18">
        <v>34.299999999999997</v>
      </c>
      <c r="E184" s="20" t="s">
        <v>260</v>
      </c>
      <c r="F184" s="17" t="s">
        <v>63</v>
      </c>
      <c r="G184" s="19" t="s">
        <v>69</v>
      </c>
      <c r="H184" s="18">
        <v>8.9466666666666672</v>
      </c>
      <c r="I184" s="17" t="s">
        <v>42</v>
      </c>
      <c r="J184" s="17"/>
      <c r="K184" s="16" t="str">
        <f>HYPERLINK("http://slimages.macys.com/is/image/MCY/18549055 ")</f>
        <v xml:space="preserve">http://slimages.macys.com/is/image/MCY/18549055 </v>
      </c>
      <c r="L184" s="30"/>
    </row>
    <row r="185" spans="1:12" ht="60" x14ac:dyDescent="0.25">
      <c r="A185" s="19" t="s">
        <v>259</v>
      </c>
      <c r="B185" s="17" t="s">
        <v>258</v>
      </c>
      <c r="C185" s="20">
        <v>1</v>
      </c>
      <c r="D185" s="18">
        <v>34.299999999999997</v>
      </c>
      <c r="E185" s="20" t="s">
        <v>257</v>
      </c>
      <c r="F185" s="17" t="s">
        <v>23</v>
      </c>
      <c r="G185" s="19" t="s">
        <v>62</v>
      </c>
      <c r="H185" s="18">
        <v>8.9466666666666672</v>
      </c>
      <c r="I185" s="17" t="s">
        <v>42</v>
      </c>
      <c r="J185" s="17"/>
      <c r="K185" s="16" t="str">
        <f>HYPERLINK("http://slimages.macys.com/is/image/MCY/19112141 ")</f>
        <v xml:space="preserve">http://slimages.macys.com/is/image/MCY/19112141 </v>
      </c>
      <c r="L185" s="30"/>
    </row>
    <row r="186" spans="1:12" ht="60" x14ac:dyDescent="0.25">
      <c r="A186" s="19" t="s">
        <v>256</v>
      </c>
      <c r="B186" s="17" t="s">
        <v>255</v>
      </c>
      <c r="C186" s="20">
        <v>1</v>
      </c>
      <c r="D186" s="18">
        <v>39</v>
      </c>
      <c r="E186" s="20" t="s">
        <v>254</v>
      </c>
      <c r="F186" s="17" t="s">
        <v>140</v>
      </c>
      <c r="G186" s="19"/>
      <c r="H186" s="18">
        <v>8.6066666666666674</v>
      </c>
      <c r="I186" s="17" t="s">
        <v>49</v>
      </c>
      <c r="J186" s="17"/>
      <c r="K186" s="16" t="str">
        <f>HYPERLINK("http://slimages.macys.com/is/image/MCY/19191577 ")</f>
        <v xml:space="preserve">http://slimages.macys.com/is/image/MCY/19191577 </v>
      </c>
      <c r="L186" s="30"/>
    </row>
    <row r="187" spans="1:12" ht="60" x14ac:dyDescent="0.25">
      <c r="A187" s="19" t="s">
        <v>253</v>
      </c>
      <c r="B187" s="17" t="s">
        <v>252</v>
      </c>
      <c r="C187" s="20">
        <v>1</v>
      </c>
      <c r="D187" s="18">
        <v>44.5</v>
      </c>
      <c r="E187" s="20" t="s">
        <v>251</v>
      </c>
      <c r="F187" s="17" t="s">
        <v>164</v>
      </c>
      <c r="G187" s="19" t="s">
        <v>62</v>
      </c>
      <c r="H187" s="18">
        <v>8.379999999999999</v>
      </c>
      <c r="I187" s="17" t="s">
        <v>56</v>
      </c>
      <c r="J187" s="17"/>
      <c r="K187" s="16" t="str">
        <f>HYPERLINK("http://slimages.macys.com/is/image/MCY/19505914 ")</f>
        <v xml:space="preserve">http://slimages.macys.com/is/image/MCY/19505914 </v>
      </c>
      <c r="L187" s="30"/>
    </row>
    <row r="188" spans="1:12" ht="60" x14ac:dyDescent="0.25">
      <c r="A188" s="19" t="s">
        <v>250</v>
      </c>
      <c r="B188" s="17" t="s">
        <v>249</v>
      </c>
      <c r="C188" s="20">
        <v>1</v>
      </c>
      <c r="D188" s="18">
        <v>34.99</v>
      </c>
      <c r="E188" s="20" t="s">
        <v>248</v>
      </c>
      <c r="F188" s="17" t="s">
        <v>23</v>
      </c>
      <c r="G188" s="19" t="s">
        <v>197</v>
      </c>
      <c r="H188" s="18">
        <v>8.3333333333333339</v>
      </c>
      <c r="I188" s="17" t="s">
        <v>42</v>
      </c>
      <c r="J188" s="17"/>
      <c r="K188" s="16" t="str">
        <f>HYPERLINK("http://slimages.macys.com/is/image/MCY/16374339 ")</f>
        <v xml:space="preserve">http://slimages.macys.com/is/image/MCY/16374339 </v>
      </c>
      <c r="L188" s="30"/>
    </row>
    <row r="189" spans="1:12" ht="60" x14ac:dyDescent="0.25">
      <c r="A189" s="19" t="s">
        <v>247</v>
      </c>
      <c r="B189" s="17" t="s">
        <v>246</v>
      </c>
      <c r="C189" s="20">
        <v>1</v>
      </c>
      <c r="D189" s="18">
        <v>29.99</v>
      </c>
      <c r="E189" s="20" t="s">
        <v>243</v>
      </c>
      <c r="F189" s="17" t="s">
        <v>91</v>
      </c>
      <c r="G189" s="19" t="s">
        <v>197</v>
      </c>
      <c r="H189" s="18">
        <v>8.2200000000000006</v>
      </c>
      <c r="I189" s="17" t="s">
        <v>42</v>
      </c>
      <c r="J189" s="17"/>
      <c r="K189" s="16" t="str">
        <f>HYPERLINK("http://slimages.macys.com/is/image/MCY/19268874 ")</f>
        <v xml:space="preserve">http://slimages.macys.com/is/image/MCY/19268874 </v>
      </c>
      <c r="L189" s="30"/>
    </row>
    <row r="190" spans="1:12" ht="60" x14ac:dyDescent="0.25">
      <c r="A190" s="19" t="s">
        <v>245</v>
      </c>
      <c r="B190" s="17" t="s">
        <v>244</v>
      </c>
      <c r="C190" s="20">
        <v>1</v>
      </c>
      <c r="D190" s="18">
        <v>29.99</v>
      </c>
      <c r="E190" s="20" t="s">
        <v>243</v>
      </c>
      <c r="F190" s="17" t="s">
        <v>91</v>
      </c>
      <c r="G190" s="19" t="s">
        <v>62</v>
      </c>
      <c r="H190" s="18">
        <v>8.2200000000000006</v>
      </c>
      <c r="I190" s="17" t="s">
        <v>42</v>
      </c>
      <c r="J190" s="17"/>
      <c r="K190" s="16" t="str">
        <f>HYPERLINK("http://slimages.macys.com/is/image/MCY/19268874 ")</f>
        <v xml:space="preserve">http://slimages.macys.com/is/image/MCY/19268874 </v>
      </c>
      <c r="L190" s="30"/>
    </row>
    <row r="191" spans="1:12" ht="60" x14ac:dyDescent="0.25">
      <c r="A191" s="19" t="s">
        <v>242</v>
      </c>
      <c r="B191" s="17" t="s">
        <v>241</v>
      </c>
      <c r="C191" s="20">
        <v>2</v>
      </c>
      <c r="D191" s="18">
        <v>49</v>
      </c>
      <c r="E191" s="20">
        <v>10769816</v>
      </c>
      <c r="F191" s="17" t="s">
        <v>51</v>
      </c>
      <c r="G191" s="19" t="s">
        <v>62</v>
      </c>
      <c r="H191" s="18">
        <v>8.1666666666666679</v>
      </c>
      <c r="I191" s="17" t="s">
        <v>120</v>
      </c>
      <c r="J191" s="17"/>
      <c r="K191" s="16" t="str">
        <f>HYPERLINK("http://slimages.macys.com/is/image/MCY/19028870 ")</f>
        <v xml:space="preserve">http://slimages.macys.com/is/image/MCY/19028870 </v>
      </c>
      <c r="L191" s="30"/>
    </row>
    <row r="192" spans="1:12" ht="60" x14ac:dyDescent="0.25">
      <c r="A192" s="19" t="s">
        <v>240</v>
      </c>
      <c r="B192" s="17" t="s">
        <v>239</v>
      </c>
      <c r="C192" s="20">
        <v>1</v>
      </c>
      <c r="D192" s="18">
        <v>29.99</v>
      </c>
      <c r="E192" s="20" t="s">
        <v>238</v>
      </c>
      <c r="F192" s="17" t="s">
        <v>237</v>
      </c>
      <c r="G192" s="19" t="s">
        <v>69</v>
      </c>
      <c r="H192" s="18">
        <v>8</v>
      </c>
      <c r="I192" s="17" t="s">
        <v>68</v>
      </c>
      <c r="J192" s="17"/>
      <c r="K192" s="16" t="str">
        <f>HYPERLINK("http://slimages.macys.com/is/image/MCY/17899241 ")</f>
        <v xml:space="preserve">http://slimages.macys.com/is/image/MCY/17899241 </v>
      </c>
      <c r="L192" s="30"/>
    </row>
    <row r="193" spans="1:12" ht="60" x14ac:dyDescent="0.25">
      <c r="A193" s="19" t="s">
        <v>236</v>
      </c>
      <c r="B193" s="17" t="s">
        <v>235</v>
      </c>
      <c r="C193" s="20">
        <v>1</v>
      </c>
      <c r="D193" s="18">
        <v>39.5</v>
      </c>
      <c r="E193" s="20" t="s">
        <v>232</v>
      </c>
      <c r="F193" s="17" t="s">
        <v>91</v>
      </c>
      <c r="G193" s="19" t="s">
        <v>62</v>
      </c>
      <c r="H193" s="18">
        <v>7.96</v>
      </c>
      <c r="I193" s="17" t="s">
        <v>106</v>
      </c>
      <c r="J193" s="17"/>
      <c r="K193" s="16" t="str">
        <f>HYPERLINK("http://slimages.macys.com/is/image/MCY/18690301 ")</f>
        <v xml:space="preserve">http://slimages.macys.com/is/image/MCY/18690301 </v>
      </c>
      <c r="L193" s="30"/>
    </row>
    <row r="194" spans="1:12" ht="60" x14ac:dyDescent="0.25">
      <c r="A194" s="19" t="s">
        <v>234</v>
      </c>
      <c r="B194" s="17" t="s">
        <v>233</v>
      </c>
      <c r="C194" s="20">
        <v>1</v>
      </c>
      <c r="D194" s="18">
        <v>39.5</v>
      </c>
      <c r="E194" s="20" t="s">
        <v>232</v>
      </c>
      <c r="F194" s="17" t="s">
        <v>91</v>
      </c>
      <c r="G194" s="19" t="s">
        <v>69</v>
      </c>
      <c r="H194" s="18">
        <v>7.96</v>
      </c>
      <c r="I194" s="17" t="s">
        <v>106</v>
      </c>
      <c r="J194" s="17"/>
      <c r="K194" s="16" t="str">
        <f>HYPERLINK("http://slimages.macys.com/is/image/MCY/18690301 ")</f>
        <v xml:space="preserve">http://slimages.macys.com/is/image/MCY/18690301 </v>
      </c>
      <c r="L194" s="30"/>
    </row>
    <row r="195" spans="1:12" ht="60" x14ac:dyDescent="0.25">
      <c r="A195" s="19" t="s">
        <v>231</v>
      </c>
      <c r="B195" s="17" t="s">
        <v>230</v>
      </c>
      <c r="C195" s="20">
        <v>1</v>
      </c>
      <c r="D195" s="18">
        <v>39.5</v>
      </c>
      <c r="E195" s="20" t="s">
        <v>229</v>
      </c>
      <c r="F195" s="17" t="s">
        <v>51</v>
      </c>
      <c r="G195" s="19" t="s">
        <v>197</v>
      </c>
      <c r="H195" s="18">
        <v>7.96</v>
      </c>
      <c r="I195" s="17" t="s">
        <v>106</v>
      </c>
      <c r="J195" s="17"/>
      <c r="K195" s="16" t="str">
        <f>HYPERLINK("http://slimages.macys.com/is/image/MCY/19027118 ")</f>
        <v xml:space="preserve">http://slimages.macys.com/is/image/MCY/19027118 </v>
      </c>
      <c r="L195" s="30"/>
    </row>
    <row r="196" spans="1:12" ht="60" x14ac:dyDescent="0.25">
      <c r="A196" s="19" t="s">
        <v>228</v>
      </c>
      <c r="B196" s="17" t="s">
        <v>227</v>
      </c>
      <c r="C196" s="20">
        <v>8</v>
      </c>
      <c r="D196" s="18">
        <v>30</v>
      </c>
      <c r="E196" s="20" t="s">
        <v>226</v>
      </c>
      <c r="F196" s="17" t="s">
        <v>23</v>
      </c>
      <c r="G196" s="19" t="s">
        <v>101</v>
      </c>
      <c r="H196" s="18">
        <v>7.5533333333333337</v>
      </c>
      <c r="I196" s="17" t="s">
        <v>16</v>
      </c>
      <c r="J196" s="17"/>
      <c r="K196" s="16" t="str">
        <f>HYPERLINK("http://slimages.macys.com/is/image/MCY/19060580 ")</f>
        <v xml:space="preserve">http://slimages.macys.com/is/image/MCY/19060580 </v>
      </c>
      <c r="L196" s="30"/>
    </row>
    <row r="197" spans="1:12" ht="60" x14ac:dyDescent="0.25">
      <c r="A197" s="19" t="s">
        <v>225</v>
      </c>
      <c r="B197" s="17" t="s">
        <v>224</v>
      </c>
      <c r="C197" s="20">
        <v>1</v>
      </c>
      <c r="D197" s="18">
        <v>39.99</v>
      </c>
      <c r="E197" s="20" t="s">
        <v>223</v>
      </c>
      <c r="F197" s="17" t="s">
        <v>23</v>
      </c>
      <c r="G197" s="19" t="s">
        <v>62</v>
      </c>
      <c r="H197" s="18">
        <v>7.5333333333333332</v>
      </c>
      <c r="I197" s="17" t="s">
        <v>68</v>
      </c>
      <c r="J197" s="17"/>
      <c r="K197" s="16" t="str">
        <f>HYPERLINK("http://slimages.macys.com/is/image/MCY/19622336 ")</f>
        <v xml:space="preserve">http://slimages.macys.com/is/image/MCY/19622336 </v>
      </c>
      <c r="L197" s="30"/>
    </row>
    <row r="198" spans="1:12" ht="60" x14ac:dyDescent="0.25">
      <c r="A198" s="19" t="s">
        <v>222</v>
      </c>
      <c r="B198" s="17" t="s">
        <v>221</v>
      </c>
      <c r="C198" s="20">
        <v>6</v>
      </c>
      <c r="D198" s="18">
        <v>34</v>
      </c>
      <c r="E198" s="20" t="s">
        <v>220</v>
      </c>
      <c r="F198" s="17" t="s">
        <v>164</v>
      </c>
      <c r="G198" s="19" t="s">
        <v>22</v>
      </c>
      <c r="H198" s="18">
        <v>7.5</v>
      </c>
      <c r="I198" s="17" t="s">
        <v>49</v>
      </c>
      <c r="J198" s="17"/>
      <c r="K198" s="16" t="str">
        <f>HYPERLINK("http://slimages.macys.com/is/image/MCY/16502033 ")</f>
        <v xml:space="preserve">http://slimages.macys.com/is/image/MCY/16502033 </v>
      </c>
      <c r="L198" s="30"/>
    </row>
    <row r="199" spans="1:12" ht="60" x14ac:dyDescent="0.25">
      <c r="A199" s="19" t="s">
        <v>219</v>
      </c>
      <c r="B199" s="17" t="s">
        <v>218</v>
      </c>
      <c r="C199" s="20">
        <v>1</v>
      </c>
      <c r="D199" s="18">
        <v>34</v>
      </c>
      <c r="E199" s="20" t="s">
        <v>217</v>
      </c>
      <c r="F199" s="17" t="s">
        <v>216</v>
      </c>
      <c r="G199" s="19" t="s">
        <v>62</v>
      </c>
      <c r="H199" s="18">
        <v>7.5</v>
      </c>
      <c r="I199" s="17" t="s">
        <v>49</v>
      </c>
      <c r="J199" s="17"/>
      <c r="K199" s="16" t="str">
        <f>HYPERLINK("http://slimages.macys.com/is/image/MCY/18983164 ")</f>
        <v xml:space="preserve">http://slimages.macys.com/is/image/MCY/18983164 </v>
      </c>
      <c r="L199" s="30"/>
    </row>
    <row r="200" spans="1:12" ht="60" x14ac:dyDescent="0.25">
      <c r="A200" s="19" t="s">
        <v>215</v>
      </c>
      <c r="B200" s="17" t="s">
        <v>214</v>
      </c>
      <c r="C200" s="20">
        <v>3</v>
      </c>
      <c r="D200" s="18">
        <v>39.5</v>
      </c>
      <c r="E200" s="20" t="s">
        <v>213</v>
      </c>
      <c r="F200" s="17" t="s">
        <v>63</v>
      </c>
      <c r="G200" s="19" t="s">
        <v>69</v>
      </c>
      <c r="H200" s="18">
        <v>7.4400000000000013</v>
      </c>
      <c r="I200" s="17" t="s">
        <v>56</v>
      </c>
      <c r="J200" s="17"/>
      <c r="K200" s="16" t="str">
        <f>HYPERLINK("http://slimages.macys.com/is/image/MCY/19179536 ")</f>
        <v xml:space="preserve">http://slimages.macys.com/is/image/MCY/19179536 </v>
      </c>
      <c r="L200" s="30"/>
    </row>
    <row r="201" spans="1:12" ht="60" x14ac:dyDescent="0.25">
      <c r="A201" s="19" t="s">
        <v>212</v>
      </c>
      <c r="B201" s="17" t="s">
        <v>211</v>
      </c>
      <c r="C201" s="20">
        <v>1</v>
      </c>
      <c r="D201" s="18">
        <v>39.5</v>
      </c>
      <c r="E201" s="20" t="s">
        <v>210</v>
      </c>
      <c r="F201" s="17" t="s">
        <v>28</v>
      </c>
      <c r="G201" s="19" t="s">
        <v>197</v>
      </c>
      <c r="H201" s="18">
        <v>7.4400000000000013</v>
      </c>
      <c r="I201" s="17" t="s">
        <v>68</v>
      </c>
      <c r="J201" s="17"/>
      <c r="K201" s="16" t="str">
        <f>HYPERLINK("http://slimages.macys.com/is/image/MCY/18560697 ")</f>
        <v xml:space="preserve">http://slimages.macys.com/is/image/MCY/18560697 </v>
      </c>
      <c r="L201" s="30"/>
    </row>
    <row r="202" spans="1:12" ht="60" x14ac:dyDescent="0.25">
      <c r="A202" s="19" t="s">
        <v>209</v>
      </c>
      <c r="B202" s="17" t="s">
        <v>208</v>
      </c>
      <c r="C202" s="20">
        <v>1</v>
      </c>
      <c r="D202" s="18">
        <v>39.5</v>
      </c>
      <c r="E202" s="20" t="s">
        <v>207</v>
      </c>
      <c r="F202" s="17" t="s">
        <v>206</v>
      </c>
      <c r="G202" s="19" t="s">
        <v>197</v>
      </c>
      <c r="H202" s="18">
        <v>7.4400000000000013</v>
      </c>
      <c r="I202" s="17" t="s">
        <v>56</v>
      </c>
      <c r="J202" s="17"/>
      <c r="K202" s="16" t="str">
        <f>HYPERLINK("http://slimages.macys.com/is/image/MCY/18751973 ")</f>
        <v xml:space="preserve">http://slimages.macys.com/is/image/MCY/18751973 </v>
      </c>
      <c r="L202" s="30"/>
    </row>
    <row r="203" spans="1:12" ht="60" x14ac:dyDescent="0.25">
      <c r="A203" s="19" t="s">
        <v>205</v>
      </c>
      <c r="B203" s="17" t="s">
        <v>204</v>
      </c>
      <c r="C203" s="20">
        <v>15</v>
      </c>
      <c r="D203" s="18">
        <v>29.25</v>
      </c>
      <c r="E203" s="20" t="s">
        <v>36</v>
      </c>
      <c r="F203" s="17" t="s">
        <v>35</v>
      </c>
      <c r="G203" s="19"/>
      <c r="H203" s="18">
        <v>7.3600000000000012</v>
      </c>
      <c r="I203" s="17" t="s">
        <v>33</v>
      </c>
      <c r="J203" s="17"/>
      <c r="K203" s="16" t="str">
        <f>HYPERLINK("http://slimages.macys.com/is/image/MCY/19573530 ")</f>
        <v xml:space="preserve">http://slimages.macys.com/is/image/MCY/19573530 </v>
      </c>
      <c r="L203" s="30"/>
    </row>
    <row r="204" spans="1:12" ht="60" x14ac:dyDescent="0.25">
      <c r="A204" s="19" t="s">
        <v>203</v>
      </c>
      <c r="B204" s="17" t="s">
        <v>202</v>
      </c>
      <c r="C204" s="20">
        <v>8</v>
      </c>
      <c r="D204" s="18">
        <v>29.25</v>
      </c>
      <c r="E204" s="20" t="s">
        <v>36</v>
      </c>
      <c r="F204" s="17" t="s">
        <v>35</v>
      </c>
      <c r="G204" s="19"/>
      <c r="H204" s="18">
        <v>7.3600000000000012</v>
      </c>
      <c r="I204" s="17" t="s">
        <v>33</v>
      </c>
      <c r="J204" s="17"/>
      <c r="K204" s="16" t="str">
        <f>HYPERLINK("http://slimages.macys.com/is/image/MCY/19573530 ")</f>
        <v xml:space="preserve">http://slimages.macys.com/is/image/MCY/19573530 </v>
      </c>
      <c r="L204" s="30"/>
    </row>
    <row r="205" spans="1:12" ht="60" x14ac:dyDescent="0.25">
      <c r="A205" s="19" t="s">
        <v>201</v>
      </c>
      <c r="B205" s="17" t="s">
        <v>200</v>
      </c>
      <c r="C205" s="20">
        <v>1</v>
      </c>
      <c r="D205" s="18">
        <v>27.3</v>
      </c>
      <c r="E205" s="20" t="s">
        <v>199</v>
      </c>
      <c r="F205" s="17" t="s">
        <v>198</v>
      </c>
      <c r="G205" s="19" t="s">
        <v>197</v>
      </c>
      <c r="H205" s="18">
        <v>7.120000000000001</v>
      </c>
      <c r="I205" s="17" t="s">
        <v>42</v>
      </c>
      <c r="J205" s="17"/>
      <c r="K205" s="16" t="str">
        <f>HYPERLINK("http://slimages.macys.com/is/image/MCY/19112196 ")</f>
        <v xml:space="preserve">http://slimages.macys.com/is/image/MCY/19112196 </v>
      </c>
      <c r="L205" s="30"/>
    </row>
    <row r="206" spans="1:12" ht="60" x14ac:dyDescent="0.25">
      <c r="A206" s="19" t="s">
        <v>196</v>
      </c>
      <c r="B206" s="17" t="s">
        <v>195</v>
      </c>
      <c r="C206" s="20">
        <v>1</v>
      </c>
      <c r="D206" s="18">
        <v>27.3</v>
      </c>
      <c r="E206" s="20" t="s">
        <v>194</v>
      </c>
      <c r="F206" s="17" t="s">
        <v>23</v>
      </c>
      <c r="G206" s="19" t="s">
        <v>62</v>
      </c>
      <c r="H206" s="18">
        <v>7.120000000000001</v>
      </c>
      <c r="I206" s="17" t="s">
        <v>42</v>
      </c>
      <c r="J206" s="17"/>
      <c r="K206" s="16" t="str">
        <f>HYPERLINK("http://slimages.macys.com/is/image/MCY/19112108 ")</f>
        <v xml:space="preserve">http://slimages.macys.com/is/image/MCY/19112108 </v>
      </c>
      <c r="L206" s="30"/>
    </row>
    <row r="207" spans="1:12" ht="60" x14ac:dyDescent="0.25">
      <c r="A207" s="19" t="s">
        <v>193</v>
      </c>
      <c r="B207" s="17" t="s">
        <v>192</v>
      </c>
      <c r="C207" s="20">
        <v>1</v>
      </c>
      <c r="D207" s="18">
        <v>27.3</v>
      </c>
      <c r="E207" s="20" t="s">
        <v>191</v>
      </c>
      <c r="F207" s="17" t="s">
        <v>51</v>
      </c>
      <c r="G207" s="19" t="s">
        <v>62</v>
      </c>
      <c r="H207" s="18">
        <v>7.120000000000001</v>
      </c>
      <c r="I207" s="17" t="s">
        <v>42</v>
      </c>
      <c r="J207" s="17"/>
      <c r="K207" s="16" t="str">
        <f>HYPERLINK("http://slimages.macys.com/is/image/MCY/18757221 ")</f>
        <v xml:space="preserve">http://slimages.macys.com/is/image/MCY/18757221 </v>
      </c>
      <c r="L207" s="30"/>
    </row>
    <row r="208" spans="1:12" ht="60" x14ac:dyDescent="0.25">
      <c r="A208" s="19" t="s">
        <v>190</v>
      </c>
      <c r="B208" s="17" t="s">
        <v>189</v>
      </c>
      <c r="C208" s="20">
        <v>1</v>
      </c>
      <c r="D208" s="18">
        <v>25</v>
      </c>
      <c r="E208" s="20" t="s">
        <v>188</v>
      </c>
      <c r="F208" s="17" t="s">
        <v>23</v>
      </c>
      <c r="G208" s="19" t="s">
        <v>74</v>
      </c>
      <c r="H208" s="18">
        <v>6</v>
      </c>
      <c r="I208" s="17" t="s">
        <v>80</v>
      </c>
      <c r="J208" s="17"/>
      <c r="K208" s="16" t="str">
        <f>HYPERLINK("http://slimages.macys.com/is/image/MCY/18536071 ")</f>
        <v xml:space="preserve">http://slimages.macys.com/is/image/MCY/18536071 </v>
      </c>
      <c r="L208" s="30"/>
    </row>
    <row r="209" spans="1:12" ht="60" x14ac:dyDescent="0.25">
      <c r="A209" s="19" t="s">
        <v>186</v>
      </c>
      <c r="B209" s="17" t="s">
        <v>185</v>
      </c>
      <c r="C209" s="20">
        <v>1</v>
      </c>
      <c r="D209" s="18">
        <v>32</v>
      </c>
      <c r="E209" s="20" t="s">
        <v>184</v>
      </c>
      <c r="F209" s="17" t="s">
        <v>51</v>
      </c>
      <c r="G209" s="19" t="s">
        <v>27</v>
      </c>
      <c r="H209" s="18">
        <v>5.9733333333333336</v>
      </c>
      <c r="I209" s="17" t="s">
        <v>80</v>
      </c>
      <c r="J209" s="17"/>
      <c r="K209" s="16" t="str">
        <f>HYPERLINK("http://slimages.macys.com/is/image/MCY/18939307 ")</f>
        <v xml:space="preserve">http://slimages.macys.com/is/image/MCY/18939307 </v>
      </c>
      <c r="L209" s="30"/>
    </row>
    <row r="210" spans="1:12" ht="60" x14ac:dyDescent="0.25">
      <c r="A210" s="19" t="s">
        <v>182</v>
      </c>
      <c r="B210" s="17" t="s">
        <v>181</v>
      </c>
      <c r="C210" s="20">
        <v>17</v>
      </c>
      <c r="D210" s="18">
        <v>25</v>
      </c>
      <c r="E210" s="20" t="s">
        <v>180</v>
      </c>
      <c r="F210" s="17" t="s">
        <v>140</v>
      </c>
      <c r="G210" s="19" t="s">
        <v>22</v>
      </c>
      <c r="H210" s="18">
        <v>5.86</v>
      </c>
      <c r="I210" s="17" t="s">
        <v>16</v>
      </c>
      <c r="J210" s="17"/>
      <c r="K210" s="16" t="str">
        <f>HYPERLINK("http://slimages.macys.com/is/image/MCY/19146983 ")</f>
        <v xml:space="preserve">http://slimages.macys.com/is/image/MCY/19146983 </v>
      </c>
      <c r="L210" s="30"/>
    </row>
    <row r="211" spans="1:12" ht="60" x14ac:dyDescent="0.25">
      <c r="A211" s="19" t="s">
        <v>179</v>
      </c>
      <c r="B211" s="17" t="s">
        <v>178</v>
      </c>
      <c r="C211" s="20">
        <v>1</v>
      </c>
      <c r="D211" s="18">
        <v>25</v>
      </c>
      <c r="E211" s="20" t="s">
        <v>175</v>
      </c>
      <c r="F211" s="17" t="s">
        <v>44</v>
      </c>
      <c r="G211" s="19" t="s">
        <v>27</v>
      </c>
      <c r="H211" s="18">
        <v>5.8533333333333335</v>
      </c>
      <c r="I211" s="17" t="s">
        <v>16</v>
      </c>
      <c r="J211" s="17"/>
      <c r="K211" s="16" t="str">
        <f>HYPERLINK("http://slimages.macys.com/is/image/MCY/19684324 ")</f>
        <v xml:space="preserve">http://slimages.macys.com/is/image/MCY/19684324 </v>
      </c>
      <c r="L211" s="30"/>
    </row>
    <row r="212" spans="1:12" ht="60" x14ac:dyDescent="0.25">
      <c r="A212" s="19" t="s">
        <v>177</v>
      </c>
      <c r="B212" s="17" t="s">
        <v>176</v>
      </c>
      <c r="C212" s="20">
        <v>1</v>
      </c>
      <c r="D212" s="18">
        <v>25</v>
      </c>
      <c r="E212" s="20" t="s">
        <v>175</v>
      </c>
      <c r="F212" s="17" t="s">
        <v>28</v>
      </c>
      <c r="G212" s="19" t="s">
        <v>27</v>
      </c>
      <c r="H212" s="18">
        <v>5.8533333333333335</v>
      </c>
      <c r="I212" s="17" t="s">
        <v>16</v>
      </c>
      <c r="J212" s="17"/>
      <c r="K212" s="16" t="str">
        <f>HYPERLINK("http://slimages.macys.com/is/image/MCY/19684324 ")</f>
        <v xml:space="preserve">http://slimages.macys.com/is/image/MCY/19684324 </v>
      </c>
      <c r="L212" s="30"/>
    </row>
    <row r="213" spans="1:12" ht="60" x14ac:dyDescent="0.25">
      <c r="A213" s="19" t="s">
        <v>174</v>
      </c>
      <c r="B213" s="17" t="s">
        <v>173</v>
      </c>
      <c r="C213" s="20">
        <v>1</v>
      </c>
      <c r="D213" s="18">
        <v>25</v>
      </c>
      <c r="E213" s="20" t="s">
        <v>172</v>
      </c>
      <c r="F213" s="17" t="s">
        <v>164</v>
      </c>
      <c r="G213" s="19" t="s">
        <v>22</v>
      </c>
      <c r="H213" s="18">
        <v>3.82</v>
      </c>
      <c r="I213" s="17" t="s">
        <v>16</v>
      </c>
      <c r="J213" s="17"/>
      <c r="K213" s="16" t="str">
        <f>HYPERLINK("http://slimages.macys.com/is/image/MCY/19147347 ")</f>
        <v xml:space="preserve">http://slimages.macys.com/is/image/MCY/19147347 </v>
      </c>
      <c r="L213" s="30"/>
    </row>
    <row r="214" spans="1:12" ht="60" x14ac:dyDescent="0.25">
      <c r="A214" s="19" t="s">
        <v>171</v>
      </c>
      <c r="B214" s="17" t="s">
        <v>170</v>
      </c>
      <c r="C214" s="20">
        <v>1</v>
      </c>
      <c r="D214" s="18">
        <v>25</v>
      </c>
      <c r="E214" s="20" t="s">
        <v>165</v>
      </c>
      <c r="F214" s="17" t="s">
        <v>51</v>
      </c>
      <c r="G214" s="19" t="s">
        <v>101</v>
      </c>
      <c r="H214" s="18">
        <v>3.82</v>
      </c>
      <c r="I214" s="17" t="s">
        <v>16</v>
      </c>
      <c r="J214" s="17"/>
      <c r="K214" s="16" t="str">
        <f>HYPERLINK("http://slimages.macys.com/is/image/MCY/19146922 ")</f>
        <v xml:space="preserve">http://slimages.macys.com/is/image/MCY/19146922 </v>
      </c>
      <c r="L214" s="30"/>
    </row>
    <row r="215" spans="1:12" ht="60" x14ac:dyDescent="0.25">
      <c r="A215" s="19" t="s">
        <v>169</v>
      </c>
      <c r="B215" s="17" t="s">
        <v>168</v>
      </c>
      <c r="C215" s="20">
        <v>5</v>
      </c>
      <c r="D215" s="18">
        <v>25</v>
      </c>
      <c r="E215" s="20" t="s">
        <v>165</v>
      </c>
      <c r="F215" s="17" t="s">
        <v>164</v>
      </c>
      <c r="G215" s="19" t="s">
        <v>22</v>
      </c>
      <c r="H215" s="18">
        <v>3.82</v>
      </c>
      <c r="I215" s="17" t="s">
        <v>16</v>
      </c>
      <c r="J215" s="17"/>
      <c r="K215" s="16" t="str">
        <f>HYPERLINK("http://slimages.macys.com/is/image/MCY/19146922 ")</f>
        <v xml:space="preserve">http://slimages.macys.com/is/image/MCY/19146922 </v>
      </c>
      <c r="L215" s="30"/>
    </row>
    <row r="216" spans="1:12" ht="60" x14ac:dyDescent="0.25">
      <c r="A216" s="19" t="s">
        <v>167</v>
      </c>
      <c r="B216" s="17" t="s">
        <v>166</v>
      </c>
      <c r="C216" s="20">
        <v>1</v>
      </c>
      <c r="D216" s="18">
        <v>25</v>
      </c>
      <c r="E216" s="20" t="s">
        <v>165</v>
      </c>
      <c r="F216" s="17" t="s">
        <v>164</v>
      </c>
      <c r="G216" s="19" t="s">
        <v>27</v>
      </c>
      <c r="H216" s="18">
        <v>3.82</v>
      </c>
      <c r="I216" s="17" t="s">
        <v>16</v>
      </c>
      <c r="J216" s="17"/>
      <c r="K216" s="16" t="str">
        <f>HYPERLINK("http://slimages.macys.com/is/image/MCY/19146922 ")</f>
        <v xml:space="preserve">http://slimages.macys.com/is/image/MCY/19146922 </v>
      </c>
      <c r="L216" s="30"/>
    </row>
    <row r="217" spans="1:12" ht="60" x14ac:dyDescent="0.25">
      <c r="A217" s="19" t="s">
        <v>163</v>
      </c>
      <c r="B217" s="17" t="s">
        <v>162</v>
      </c>
      <c r="C217" s="20">
        <v>4</v>
      </c>
      <c r="D217" s="18">
        <v>25</v>
      </c>
      <c r="E217" s="20" t="s">
        <v>161</v>
      </c>
      <c r="F217" s="17" t="s">
        <v>85</v>
      </c>
      <c r="G217" s="19" t="s">
        <v>22</v>
      </c>
      <c r="H217" s="18">
        <v>3.82</v>
      </c>
      <c r="I217" s="17" t="s">
        <v>16</v>
      </c>
      <c r="J217" s="17"/>
      <c r="K217" s="16" t="str">
        <f>HYPERLINK("http://slimages.macys.com/is/image/MCY/19147316 ")</f>
        <v xml:space="preserve">http://slimages.macys.com/is/image/MCY/19147316 </v>
      </c>
      <c r="L217" s="30"/>
    </row>
    <row r="218" spans="1:12" ht="24" x14ac:dyDescent="0.25">
      <c r="A218" s="19" t="s">
        <v>160</v>
      </c>
      <c r="B218" s="17" t="s">
        <v>159</v>
      </c>
      <c r="C218" s="20">
        <v>1</v>
      </c>
      <c r="D218" s="18">
        <v>335</v>
      </c>
      <c r="E218" s="20">
        <v>536620136000010</v>
      </c>
      <c r="F218" s="17" t="s">
        <v>23</v>
      </c>
      <c r="G218" s="19" t="s">
        <v>27</v>
      </c>
      <c r="H218" s="18">
        <v>93.333333333333343</v>
      </c>
      <c r="I218" s="17" t="s">
        <v>158</v>
      </c>
      <c r="J218" s="17"/>
      <c r="K218" s="16"/>
      <c r="L218" s="30"/>
    </row>
    <row r="219" spans="1:12" ht="24" x14ac:dyDescent="0.25">
      <c r="A219" s="19" t="s">
        <v>156</v>
      </c>
      <c r="B219" s="17" t="s">
        <v>155</v>
      </c>
      <c r="C219" s="20">
        <v>1</v>
      </c>
      <c r="D219" s="18">
        <v>228</v>
      </c>
      <c r="E219" s="20" t="s">
        <v>154</v>
      </c>
      <c r="F219" s="17" t="s">
        <v>23</v>
      </c>
      <c r="G219" s="19" t="s">
        <v>69</v>
      </c>
      <c r="H219" s="18">
        <v>65.540000000000006</v>
      </c>
      <c r="I219" s="17" t="s">
        <v>153</v>
      </c>
      <c r="J219" s="17"/>
      <c r="K219" s="16"/>
      <c r="L219" s="30"/>
    </row>
    <row r="220" spans="1:12" ht="24" x14ac:dyDescent="0.25">
      <c r="A220" s="19" t="s">
        <v>152</v>
      </c>
      <c r="B220" s="17" t="s">
        <v>151</v>
      </c>
      <c r="C220" s="20">
        <v>1</v>
      </c>
      <c r="D220" s="18">
        <v>198</v>
      </c>
      <c r="E220" s="20" t="s">
        <v>150</v>
      </c>
      <c r="F220" s="17" t="s">
        <v>149</v>
      </c>
      <c r="G220" s="19"/>
      <c r="H220" s="18">
        <v>60</v>
      </c>
      <c r="I220" s="17" t="s">
        <v>148</v>
      </c>
      <c r="J220" s="17"/>
      <c r="K220" s="16"/>
      <c r="L220" s="30"/>
    </row>
    <row r="221" spans="1:12" ht="24" x14ac:dyDescent="0.25">
      <c r="A221" s="19" t="s">
        <v>146</v>
      </c>
      <c r="B221" s="17" t="s">
        <v>145</v>
      </c>
      <c r="C221" s="20">
        <v>1</v>
      </c>
      <c r="D221" s="18">
        <v>129</v>
      </c>
      <c r="E221" s="20">
        <v>10793708</v>
      </c>
      <c r="F221" s="17" t="s">
        <v>63</v>
      </c>
      <c r="G221" s="19" t="s">
        <v>69</v>
      </c>
      <c r="H221" s="18">
        <v>25.8</v>
      </c>
      <c r="I221" s="17" t="s">
        <v>144</v>
      </c>
      <c r="J221" s="17"/>
      <c r="K221" s="16"/>
      <c r="L221" s="30"/>
    </row>
    <row r="222" spans="1:12" ht="24" x14ac:dyDescent="0.25">
      <c r="A222" s="19" t="s">
        <v>142</v>
      </c>
      <c r="B222" s="17" t="s">
        <v>141</v>
      </c>
      <c r="C222" s="20">
        <v>2</v>
      </c>
      <c r="D222" s="18">
        <v>99</v>
      </c>
      <c r="E222" s="20">
        <v>9261147</v>
      </c>
      <c r="F222" s="17" t="s">
        <v>140</v>
      </c>
      <c r="G222" s="19" t="s">
        <v>139</v>
      </c>
      <c r="H222" s="18">
        <v>23.1</v>
      </c>
      <c r="I222" s="17" t="s">
        <v>138</v>
      </c>
      <c r="J222" s="17"/>
      <c r="K222" s="16"/>
      <c r="L222" s="30"/>
    </row>
    <row r="223" spans="1:12" ht="24" x14ac:dyDescent="0.25">
      <c r="A223" s="19" t="s">
        <v>136</v>
      </c>
      <c r="B223" s="17" t="s">
        <v>135</v>
      </c>
      <c r="C223" s="20">
        <v>1</v>
      </c>
      <c r="D223" s="18">
        <v>88</v>
      </c>
      <c r="E223" s="20" t="s">
        <v>134</v>
      </c>
      <c r="F223" s="17" t="s">
        <v>75</v>
      </c>
      <c r="G223" s="19" t="s">
        <v>62</v>
      </c>
      <c r="H223" s="18">
        <v>20.533333333333335</v>
      </c>
      <c r="I223" s="17" t="s">
        <v>133</v>
      </c>
      <c r="J223" s="17"/>
      <c r="K223" s="16"/>
      <c r="L223" s="30"/>
    </row>
    <row r="224" spans="1:12" ht="24" x14ac:dyDescent="0.25">
      <c r="A224" s="19" t="s">
        <v>131</v>
      </c>
      <c r="B224" s="17" t="s">
        <v>130</v>
      </c>
      <c r="C224" s="20">
        <v>2</v>
      </c>
      <c r="D224" s="18">
        <v>99</v>
      </c>
      <c r="E224" s="20">
        <v>8151241</v>
      </c>
      <c r="F224" s="17" t="s">
        <v>91</v>
      </c>
      <c r="G224" s="19" t="s">
        <v>101</v>
      </c>
      <c r="H224" s="18">
        <v>19.8</v>
      </c>
      <c r="I224" s="17" t="s">
        <v>129</v>
      </c>
      <c r="J224" s="17"/>
      <c r="K224" s="16"/>
      <c r="L224" s="30"/>
    </row>
    <row r="225" spans="1:12" ht="36" x14ac:dyDescent="0.25">
      <c r="A225" s="19" t="s">
        <v>127</v>
      </c>
      <c r="B225" s="17" t="s">
        <v>126</v>
      </c>
      <c r="C225" s="20">
        <v>1</v>
      </c>
      <c r="D225" s="18">
        <v>89.5</v>
      </c>
      <c r="E225" s="20" t="s">
        <v>125</v>
      </c>
      <c r="F225" s="17" t="s">
        <v>124</v>
      </c>
      <c r="G225" s="19" t="s">
        <v>123</v>
      </c>
      <c r="H225" s="18">
        <v>18.026666666666667</v>
      </c>
      <c r="I225" s="17" t="s">
        <v>106</v>
      </c>
      <c r="J225" s="17"/>
      <c r="K225" s="16"/>
      <c r="L225" s="30"/>
    </row>
    <row r="226" spans="1:12" ht="24" x14ac:dyDescent="0.25">
      <c r="A226" s="19" t="s">
        <v>122</v>
      </c>
      <c r="B226" s="17" t="s">
        <v>121</v>
      </c>
      <c r="C226" s="20">
        <v>1</v>
      </c>
      <c r="D226" s="18">
        <v>89</v>
      </c>
      <c r="E226" s="20">
        <v>10808320</v>
      </c>
      <c r="F226" s="17" t="s">
        <v>18</v>
      </c>
      <c r="G226" s="19" t="s">
        <v>62</v>
      </c>
      <c r="H226" s="18">
        <v>17.206666666666667</v>
      </c>
      <c r="I226" s="17" t="s">
        <v>120</v>
      </c>
      <c r="J226" s="17"/>
      <c r="K226" s="16"/>
      <c r="L226" s="30"/>
    </row>
    <row r="227" spans="1:12" ht="24" x14ac:dyDescent="0.25">
      <c r="A227" s="19" t="s">
        <v>118</v>
      </c>
      <c r="B227" s="17" t="s">
        <v>117</v>
      </c>
      <c r="C227" s="20">
        <v>1</v>
      </c>
      <c r="D227" s="18">
        <v>99</v>
      </c>
      <c r="E227" s="20">
        <v>10783240</v>
      </c>
      <c r="F227" s="17" t="s">
        <v>75</v>
      </c>
      <c r="G227" s="19" t="s">
        <v>116</v>
      </c>
      <c r="H227" s="18">
        <v>16.666666666666668</v>
      </c>
      <c r="I227" s="17" t="s">
        <v>115</v>
      </c>
      <c r="J227" s="17"/>
      <c r="K227" s="16"/>
      <c r="L227" s="30"/>
    </row>
    <row r="228" spans="1:12" ht="24" x14ac:dyDescent="0.25">
      <c r="A228" s="19" t="s">
        <v>113</v>
      </c>
      <c r="B228" s="17" t="s">
        <v>112</v>
      </c>
      <c r="C228" s="20">
        <v>1</v>
      </c>
      <c r="D228" s="18">
        <v>99</v>
      </c>
      <c r="E228" s="20">
        <v>7030715</v>
      </c>
      <c r="F228" s="17" t="s">
        <v>91</v>
      </c>
      <c r="G228" s="19" t="s">
        <v>62</v>
      </c>
      <c r="H228" s="18">
        <v>16.5</v>
      </c>
      <c r="I228" s="17" t="s">
        <v>111</v>
      </c>
      <c r="J228" s="17"/>
      <c r="K228" s="16"/>
      <c r="L228" s="30"/>
    </row>
    <row r="229" spans="1:12" ht="36" x14ac:dyDescent="0.25">
      <c r="A229" s="19" t="s">
        <v>109</v>
      </c>
      <c r="B229" s="17" t="s">
        <v>108</v>
      </c>
      <c r="C229" s="20">
        <v>1</v>
      </c>
      <c r="D229" s="18">
        <v>79.5</v>
      </c>
      <c r="E229" s="20" t="s">
        <v>107</v>
      </c>
      <c r="F229" s="17" t="s">
        <v>51</v>
      </c>
      <c r="G229" s="19" t="s">
        <v>62</v>
      </c>
      <c r="H229" s="18">
        <v>16.013333333333335</v>
      </c>
      <c r="I229" s="17" t="s">
        <v>106</v>
      </c>
      <c r="J229" s="17"/>
      <c r="K229" s="16"/>
      <c r="L229" s="30"/>
    </row>
    <row r="230" spans="1:12" x14ac:dyDescent="0.25">
      <c r="A230" s="19" t="s">
        <v>104</v>
      </c>
      <c r="B230" s="17" t="s">
        <v>103</v>
      </c>
      <c r="C230" s="20">
        <v>1</v>
      </c>
      <c r="D230" s="18">
        <v>69</v>
      </c>
      <c r="E230" s="20" t="s">
        <v>102</v>
      </c>
      <c r="F230" s="17" t="s">
        <v>70</v>
      </c>
      <c r="G230" s="19" t="s">
        <v>101</v>
      </c>
      <c r="H230" s="18">
        <v>15.226666666666667</v>
      </c>
      <c r="I230" s="17" t="s">
        <v>49</v>
      </c>
      <c r="J230" s="17"/>
      <c r="K230" s="16"/>
      <c r="L230" s="30"/>
    </row>
    <row r="231" spans="1:12" ht="24" x14ac:dyDescent="0.25">
      <c r="A231" s="19" t="s">
        <v>100</v>
      </c>
      <c r="B231" s="17" t="s">
        <v>99</v>
      </c>
      <c r="C231" s="20">
        <v>1</v>
      </c>
      <c r="D231" s="18">
        <v>54.5</v>
      </c>
      <c r="E231" s="20" t="s">
        <v>98</v>
      </c>
      <c r="F231" s="17" t="s">
        <v>97</v>
      </c>
      <c r="G231" s="19" t="s">
        <v>96</v>
      </c>
      <c r="H231" s="18">
        <v>13.626666666666667</v>
      </c>
      <c r="I231" s="17" t="s">
        <v>68</v>
      </c>
      <c r="J231" s="17"/>
      <c r="K231" s="16"/>
      <c r="L231" s="30"/>
    </row>
    <row r="232" spans="1:12" ht="24" x14ac:dyDescent="0.25">
      <c r="A232" s="19" t="s">
        <v>94</v>
      </c>
      <c r="B232" s="17" t="s">
        <v>93</v>
      </c>
      <c r="C232" s="20">
        <v>1</v>
      </c>
      <c r="D232" s="18">
        <v>48.3</v>
      </c>
      <c r="E232" s="20" t="s">
        <v>92</v>
      </c>
      <c r="F232" s="17" t="s">
        <v>91</v>
      </c>
      <c r="G232" s="19" t="s">
        <v>62</v>
      </c>
      <c r="H232" s="18">
        <v>12.6</v>
      </c>
      <c r="I232" s="17" t="s">
        <v>42</v>
      </c>
      <c r="J232" s="17"/>
      <c r="K232" s="16"/>
      <c r="L232" s="30"/>
    </row>
    <row r="233" spans="1:12" ht="24" x14ac:dyDescent="0.25">
      <c r="A233" s="19" t="s">
        <v>90</v>
      </c>
      <c r="B233" s="17" t="s">
        <v>89</v>
      </c>
      <c r="C233" s="20">
        <v>1</v>
      </c>
      <c r="D233" s="18">
        <v>62.3</v>
      </c>
      <c r="E233" s="20" t="s">
        <v>86</v>
      </c>
      <c r="F233" s="17" t="s">
        <v>85</v>
      </c>
      <c r="G233" s="19"/>
      <c r="H233" s="18">
        <v>12.6</v>
      </c>
      <c r="I233" s="17" t="s">
        <v>42</v>
      </c>
      <c r="J233" s="17"/>
      <c r="K233" s="16"/>
      <c r="L233" s="30"/>
    </row>
    <row r="234" spans="1:12" ht="24" x14ac:dyDescent="0.25">
      <c r="A234" s="19" t="s">
        <v>88</v>
      </c>
      <c r="B234" s="17" t="s">
        <v>87</v>
      </c>
      <c r="C234" s="20">
        <v>1</v>
      </c>
      <c r="D234" s="18">
        <v>62.3</v>
      </c>
      <c r="E234" s="20" t="s">
        <v>86</v>
      </c>
      <c r="F234" s="17" t="s">
        <v>85</v>
      </c>
      <c r="G234" s="19"/>
      <c r="H234" s="18">
        <v>12.6</v>
      </c>
      <c r="I234" s="17" t="s">
        <v>42</v>
      </c>
      <c r="J234" s="17"/>
      <c r="K234" s="16"/>
      <c r="L234" s="30"/>
    </row>
    <row r="235" spans="1:12" ht="24" x14ac:dyDescent="0.25">
      <c r="A235" s="19" t="s">
        <v>84</v>
      </c>
      <c r="B235" s="17" t="s">
        <v>83</v>
      </c>
      <c r="C235" s="20">
        <v>1</v>
      </c>
      <c r="D235" s="18">
        <v>50</v>
      </c>
      <c r="E235" s="20" t="s">
        <v>82</v>
      </c>
      <c r="F235" s="17" t="s">
        <v>81</v>
      </c>
      <c r="G235" s="19" t="s">
        <v>74</v>
      </c>
      <c r="H235" s="18">
        <v>11.666666666666668</v>
      </c>
      <c r="I235" s="17" t="s">
        <v>80</v>
      </c>
      <c r="J235" s="17"/>
      <c r="K235" s="16"/>
      <c r="L235" s="30"/>
    </row>
    <row r="236" spans="1:12" ht="24" x14ac:dyDescent="0.25">
      <c r="A236" s="19" t="s">
        <v>78</v>
      </c>
      <c r="B236" s="17" t="s">
        <v>77</v>
      </c>
      <c r="C236" s="20">
        <v>1</v>
      </c>
      <c r="D236" s="18">
        <v>59.5</v>
      </c>
      <c r="E236" s="20" t="s">
        <v>76</v>
      </c>
      <c r="F236" s="17" t="s">
        <v>75</v>
      </c>
      <c r="G236" s="19" t="s">
        <v>74</v>
      </c>
      <c r="H236" s="18">
        <v>11.213333333333333</v>
      </c>
      <c r="I236" s="17" t="s">
        <v>68</v>
      </c>
      <c r="J236" s="17"/>
      <c r="K236" s="16"/>
      <c r="L236" s="30"/>
    </row>
    <row r="237" spans="1:12" ht="24" x14ac:dyDescent="0.25">
      <c r="A237" s="19" t="s">
        <v>73</v>
      </c>
      <c r="B237" s="17" t="s">
        <v>72</v>
      </c>
      <c r="C237" s="20">
        <v>1</v>
      </c>
      <c r="D237" s="18">
        <v>59.5</v>
      </c>
      <c r="E237" s="20" t="s">
        <v>71</v>
      </c>
      <c r="F237" s="17" t="s">
        <v>70</v>
      </c>
      <c r="G237" s="19" t="s">
        <v>69</v>
      </c>
      <c r="H237" s="18">
        <v>11.206666666666667</v>
      </c>
      <c r="I237" s="17" t="s">
        <v>68</v>
      </c>
      <c r="J237" s="17"/>
      <c r="K237" s="16"/>
      <c r="L237" s="30"/>
    </row>
    <row r="238" spans="1:12" ht="24" x14ac:dyDescent="0.25">
      <c r="A238" s="19" t="s">
        <v>66</v>
      </c>
      <c r="B238" s="17" t="s">
        <v>65</v>
      </c>
      <c r="C238" s="20">
        <v>1</v>
      </c>
      <c r="D238" s="18">
        <v>59.5</v>
      </c>
      <c r="E238" s="20" t="s">
        <v>64</v>
      </c>
      <c r="F238" s="17" t="s">
        <v>63</v>
      </c>
      <c r="G238" s="19" t="s">
        <v>62</v>
      </c>
      <c r="H238" s="18">
        <v>11.206666666666667</v>
      </c>
      <c r="I238" s="17" t="s">
        <v>56</v>
      </c>
      <c r="J238" s="17"/>
      <c r="K238" s="16"/>
      <c r="L238" s="30"/>
    </row>
    <row r="239" spans="1:12" ht="24" x14ac:dyDescent="0.25">
      <c r="A239" s="19" t="s">
        <v>61</v>
      </c>
      <c r="B239" s="17" t="s">
        <v>60</v>
      </c>
      <c r="C239" s="20">
        <v>1</v>
      </c>
      <c r="D239" s="18">
        <v>59.5</v>
      </c>
      <c r="E239" s="20" t="s">
        <v>59</v>
      </c>
      <c r="F239" s="17" t="s">
        <v>58</v>
      </c>
      <c r="G239" s="19" t="s">
        <v>57</v>
      </c>
      <c r="H239" s="18">
        <v>11.206666666666667</v>
      </c>
      <c r="I239" s="17" t="s">
        <v>56</v>
      </c>
      <c r="J239" s="17"/>
      <c r="K239" s="16"/>
      <c r="L239" s="30"/>
    </row>
    <row r="240" spans="1:12" x14ac:dyDescent="0.25">
      <c r="A240" s="19" t="s">
        <v>54</v>
      </c>
      <c r="B240" s="17" t="s">
        <v>53</v>
      </c>
      <c r="C240" s="20">
        <v>1</v>
      </c>
      <c r="D240" s="18">
        <v>49</v>
      </c>
      <c r="E240" s="20" t="s">
        <v>52</v>
      </c>
      <c r="F240" s="17" t="s">
        <v>51</v>
      </c>
      <c r="G240" s="19" t="s">
        <v>50</v>
      </c>
      <c r="H240" s="18">
        <v>10.813333333333334</v>
      </c>
      <c r="I240" s="17" t="s">
        <v>49</v>
      </c>
      <c r="J240" s="17"/>
      <c r="K240" s="16"/>
      <c r="L240" s="30"/>
    </row>
    <row r="241" spans="1:12" ht="24" x14ac:dyDescent="0.25">
      <c r="A241" s="19" t="s">
        <v>47</v>
      </c>
      <c r="B241" s="17" t="s">
        <v>46</v>
      </c>
      <c r="C241" s="20">
        <v>2</v>
      </c>
      <c r="D241" s="18">
        <v>34.299999999999997</v>
      </c>
      <c r="E241" s="20" t="s">
        <v>45</v>
      </c>
      <c r="F241" s="17" t="s">
        <v>44</v>
      </c>
      <c r="G241" s="19" t="s">
        <v>43</v>
      </c>
      <c r="H241" s="18">
        <v>7.8133333333333335</v>
      </c>
      <c r="I241" s="17" t="s">
        <v>42</v>
      </c>
      <c r="J241" s="17"/>
      <c r="K241" s="16"/>
      <c r="L241" s="30"/>
    </row>
    <row r="242" spans="1:12" ht="24" x14ac:dyDescent="0.25">
      <c r="A242" s="19" t="s">
        <v>40</v>
      </c>
      <c r="B242" s="17" t="s">
        <v>39</v>
      </c>
      <c r="C242" s="20">
        <v>10</v>
      </c>
      <c r="D242" s="18">
        <v>29.25</v>
      </c>
      <c r="E242" s="20" t="s">
        <v>36</v>
      </c>
      <c r="F242" s="17" t="s">
        <v>35</v>
      </c>
      <c r="G242" s="19"/>
      <c r="H242" s="18">
        <v>7.3600000000000012</v>
      </c>
      <c r="I242" s="17" t="s">
        <v>33</v>
      </c>
      <c r="J242" s="17"/>
      <c r="K242" s="16"/>
      <c r="L242" s="30"/>
    </row>
    <row r="243" spans="1:12" ht="24" x14ac:dyDescent="0.25">
      <c r="A243" s="19" t="s">
        <v>38</v>
      </c>
      <c r="B243" s="17" t="s">
        <v>37</v>
      </c>
      <c r="C243" s="20">
        <v>6</v>
      </c>
      <c r="D243" s="18">
        <v>29.25</v>
      </c>
      <c r="E243" s="20" t="s">
        <v>36</v>
      </c>
      <c r="F243" s="17" t="s">
        <v>35</v>
      </c>
      <c r="G243" s="19" t="s">
        <v>34</v>
      </c>
      <c r="H243" s="18">
        <v>7.3600000000000012</v>
      </c>
      <c r="I243" s="17" t="s">
        <v>33</v>
      </c>
      <c r="J243" s="17"/>
      <c r="K243" s="16"/>
      <c r="L243" s="30"/>
    </row>
    <row r="244" spans="1:12" ht="24" x14ac:dyDescent="0.25">
      <c r="A244" s="19" t="s">
        <v>31</v>
      </c>
      <c r="B244" s="17" t="s">
        <v>30</v>
      </c>
      <c r="C244" s="20">
        <v>1</v>
      </c>
      <c r="D244" s="18">
        <v>25</v>
      </c>
      <c r="E244" s="20" t="s">
        <v>29</v>
      </c>
      <c r="F244" s="17" t="s">
        <v>28</v>
      </c>
      <c r="G244" s="19" t="s">
        <v>27</v>
      </c>
      <c r="H244" s="18">
        <v>5.8533333333333335</v>
      </c>
      <c r="I244" s="17" t="s">
        <v>16</v>
      </c>
      <c r="J244" s="17"/>
      <c r="K244" s="16"/>
      <c r="L244" s="30"/>
    </row>
    <row r="245" spans="1:12" ht="24" x14ac:dyDescent="0.25">
      <c r="A245" s="19" t="s">
        <v>26</v>
      </c>
      <c r="B245" s="17" t="s">
        <v>25</v>
      </c>
      <c r="C245" s="20">
        <v>1</v>
      </c>
      <c r="D245" s="18">
        <v>25</v>
      </c>
      <c r="E245" s="20" t="s">
        <v>24</v>
      </c>
      <c r="F245" s="17" t="s">
        <v>23</v>
      </c>
      <c r="G245" s="19" t="s">
        <v>22</v>
      </c>
      <c r="H245" s="18">
        <v>3.82</v>
      </c>
      <c r="I245" s="17" t="s">
        <v>16</v>
      </c>
      <c r="J245" s="17"/>
      <c r="K245" s="16"/>
      <c r="L245" s="30"/>
    </row>
    <row r="246" spans="1:12" ht="24" x14ac:dyDescent="0.25">
      <c r="A246" s="19" t="s">
        <v>21</v>
      </c>
      <c r="B246" s="17" t="s">
        <v>20</v>
      </c>
      <c r="C246" s="20">
        <v>1</v>
      </c>
      <c r="D246" s="18">
        <v>25</v>
      </c>
      <c r="E246" s="20" t="s">
        <v>19</v>
      </c>
      <c r="F246" s="17" t="s">
        <v>18</v>
      </c>
      <c r="G246" s="19" t="s">
        <v>17</v>
      </c>
      <c r="H246" s="18">
        <v>3.813333333333333</v>
      </c>
      <c r="I246" s="17" t="s">
        <v>16</v>
      </c>
      <c r="J246" s="17"/>
      <c r="K246" s="16"/>
      <c r="L246" s="30"/>
    </row>
  </sheetData>
  <pageMargins left="0.5" right="0.5" top="0.25" bottom="0.25" header="0.3" footer="0.3"/>
  <pageSetup scale="6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311"/>
  <sheetViews>
    <sheetView workbookViewId="0">
      <selection activeCell="K2" sqref="K2"/>
    </sheetView>
  </sheetViews>
  <sheetFormatPr defaultRowHeight="15" x14ac:dyDescent="0.25"/>
  <cols>
    <col min="1" max="1" width="14.28515625" style="15" customWidth="1"/>
    <col min="2" max="2" width="46.85546875" style="15" customWidth="1"/>
    <col min="3" max="3" width="15" style="15" customWidth="1"/>
    <col min="4" max="4" width="11.42578125" style="15" customWidth="1"/>
    <col min="5" max="5" width="16.140625" style="15" bestFit="1" customWidth="1"/>
    <col min="6" max="6" width="15" style="15" customWidth="1"/>
    <col min="7" max="7" width="10.28515625" style="15" customWidth="1"/>
    <col min="8" max="8" width="17.140625" style="15" customWidth="1"/>
    <col min="9" max="11" width="11.42578125" style="15" customWidth="1"/>
    <col min="12" max="12" width="7.42578125" style="15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4" ht="24" x14ac:dyDescent="0.25">
      <c r="A1" s="34" t="s">
        <v>2</v>
      </c>
      <c r="B1" s="34" t="s">
        <v>3</v>
      </c>
      <c r="C1" s="34" t="s">
        <v>5</v>
      </c>
      <c r="D1" s="34" t="s">
        <v>817</v>
      </c>
      <c r="E1" s="34" t="s">
        <v>7</v>
      </c>
      <c r="F1" s="34" t="s">
        <v>816</v>
      </c>
      <c r="G1" s="34" t="s">
        <v>815</v>
      </c>
      <c r="H1" s="34" t="s">
        <v>814</v>
      </c>
      <c r="I1" s="34" t="s">
        <v>10</v>
      </c>
      <c r="J1" s="34"/>
      <c r="K1" s="34"/>
    </row>
    <row r="2" spans="1:14" ht="36" x14ac:dyDescent="0.25">
      <c r="A2" s="17" t="s">
        <v>14</v>
      </c>
      <c r="B2" s="32">
        <v>13988608</v>
      </c>
      <c r="C2" s="17" t="s">
        <v>11</v>
      </c>
      <c r="D2" s="17" t="s">
        <v>813</v>
      </c>
      <c r="E2" s="20">
        <v>1</v>
      </c>
      <c r="F2" s="20">
        <v>4</v>
      </c>
      <c r="G2" s="17">
        <v>495</v>
      </c>
      <c r="H2" s="18">
        <v>51630.16</v>
      </c>
      <c r="I2" s="17">
        <v>515</v>
      </c>
      <c r="J2" s="33"/>
      <c r="K2" s="33"/>
      <c r="L2" s="30"/>
      <c r="M2" s="30"/>
    </row>
    <row r="3" spans="1:14" x14ac:dyDescent="0.25">
      <c r="A3" s="23"/>
      <c r="B3" s="25"/>
      <c r="C3" s="25"/>
      <c r="D3" s="23"/>
      <c r="E3" s="23"/>
      <c r="F3" s="23"/>
      <c r="G3" s="25"/>
      <c r="H3" s="25"/>
      <c r="I3" s="23"/>
      <c r="J3" s="22"/>
      <c r="K3" s="22"/>
      <c r="L3" s="23"/>
      <c r="M3" s="22"/>
      <c r="N3" s="22"/>
    </row>
    <row r="4" spans="1:14" s="21" customFormat="1" x14ac:dyDescent="0.25"/>
    <row r="5" spans="1:14" x14ac:dyDescent="0.25">
      <c r="A5" s="1"/>
      <c r="B5" s="1"/>
      <c r="C5" s="1"/>
      <c r="D5" s="1"/>
    </row>
    <row r="6" spans="1:14" x14ac:dyDescent="0.25">
      <c r="A6" s="24"/>
      <c r="B6" s="23"/>
      <c r="C6" s="22"/>
      <c r="D6" s="22"/>
    </row>
    <row r="7" spans="1:14" s="21" customFormat="1" x14ac:dyDescent="0.25"/>
    <row r="8" spans="1:14" ht="36" x14ac:dyDescent="0.25">
      <c r="A8" s="34" t="s">
        <v>812</v>
      </c>
      <c r="B8" s="34" t="s">
        <v>811</v>
      </c>
      <c r="C8" s="34" t="s">
        <v>810</v>
      </c>
      <c r="D8" s="34" t="s">
        <v>9</v>
      </c>
      <c r="E8" s="34" t="s">
        <v>809</v>
      </c>
      <c r="F8" s="34" t="s">
        <v>808</v>
      </c>
      <c r="G8" s="34" t="s">
        <v>807</v>
      </c>
      <c r="H8" s="34" t="s">
        <v>806</v>
      </c>
      <c r="I8" s="34" t="s">
        <v>805</v>
      </c>
      <c r="J8" s="34" t="s">
        <v>804</v>
      </c>
      <c r="K8" s="34" t="s">
        <v>803</v>
      </c>
      <c r="L8" s="34" t="s">
        <v>802</v>
      </c>
      <c r="M8" s="34" t="s">
        <v>801</v>
      </c>
    </row>
    <row r="9" spans="1:14" ht="60" x14ac:dyDescent="0.25">
      <c r="A9" s="19" t="s">
        <v>1616</v>
      </c>
      <c r="B9" s="17" t="s">
        <v>1615</v>
      </c>
      <c r="C9" s="20">
        <v>1</v>
      </c>
      <c r="D9" s="18">
        <v>510</v>
      </c>
      <c r="E9" s="20">
        <v>513115116000010</v>
      </c>
      <c r="F9" s="17" t="s">
        <v>44</v>
      </c>
      <c r="G9" s="19" t="s">
        <v>116</v>
      </c>
      <c r="H9" s="18">
        <v>142</v>
      </c>
      <c r="I9" s="17" t="s">
        <v>158</v>
      </c>
      <c r="J9" s="17" t="s">
        <v>157</v>
      </c>
      <c r="K9" s="17"/>
      <c r="L9" s="17"/>
      <c r="M9" s="16" t="str">
        <f>HYPERLINK("http://slimages.macys.com/is/image/MCY/18948441 ")</f>
        <v xml:space="preserve">http://slimages.macys.com/is/image/MCY/18948441 </v>
      </c>
      <c r="N9" s="30"/>
    </row>
    <row r="10" spans="1:14" ht="60" x14ac:dyDescent="0.25">
      <c r="A10" s="19" t="s">
        <v>1614</v>
      </c>
      <c r="B10" s="17" t="s">
        <v>1613</v>
      </c>
      <c r="C10" s="20">
        <v>1</v>
      </c>
      <c r="D10" s="18">
        <v>375</v>
      </c>
      <c r="E10" s="20">
        <v>322627182000020</v>
      </c>
      <c r="F10" s="17" t="s">
        <v>85</v>
      </c>
      <c r="G10" s="19" t="s">
        <v>96</v>
      </c>
      <c r="H10" s="18">
        <v>104</v>
      </c>
      <c r="I10" s="17" t="s">
        <v>158</v>
      </c>
      <c r="J10" s="17" t="s">
        <v>946</v>
      </c>
      <c r="K10" s="17"/>
      <c r="L10" s="17"/>
      <c r="M10" s="16" t="str">
        <f>HYPERLINK("http://slimages.macys.com/is/image/MCY/19181229 ")</f>
        <v xml:space="preserve">http://slimages.macys.com/is/image/MCY/19181229 </v>
      </c>
      <c r="N10" s="30"/>
    </row>
    <row r="11" spans="1:14" ht="60" x14ac:dyDescent="0.25">
      <c r="A11" s="19" t="s">
        <v>1612</v>
      </c>
      <c r="B11" s="17" t="s">
        <v>1611</v>
      </c>
      <c r="C11" s="20">
        <v>2</v>
      </c>
      <c r="D11" s="18">
        <v>375</v>
      </c>
      <c r="E11" s="20">
        <v>322627182000020</v>
      </c>
      <c r="F11" s="17" t="s">
        <v>85</v>
      </c>
      <c r="G11" s="19" t="s">
        <v>898</v>
      </c>
      <c r="H11" s="18">
        <v>104</v>
      </c>
      <c r="I11" s="17" t="s">
        <v>158</v>
      </c>
      <c r="J11" s="17" t="s">
        <v>946</v>
      </c>
      <c r="K11" s="17"/>
      <c r="L11" s="17"/>
      <c r="M11" s="16" t="str">
        <f>HYPERLINK("http://slimages.macys.com/is/image/MCY/19181229 ")</f>
        <v xml:space="preserve">http://slimages.macys.com/is/image/MCY/19181229 </v>
      </c>
      <c r="N11" s="30"/>
    </row>
    <row r="12" spans="1:14" ht="60" x14ac:dyDescent="0.25">
      <c r="A12" s="19" t="s">
        <v>1610</v>
      </c>
      <c r="B12" s="17" t="s">
        <v>1609</v>
      </c>
      <c r="C12" s="20">
        <v>1</v>
      </c>
      <c r="D12" s="18">
        <v>375</v>
      </c>
      <c r="E12" s="20">
        <v>510104116000080</v>
      </c>
      <c r="F12" s="17" t="s">
        <v>85</v>
      </c>
      <c r="G12" s="19" t="s">
        <v>682</v>
      </c>
      <c r="H12" s="18">
        <v>104</v>
      </c>
      <c r="I12" s="17" t="s">
        <v>158</v>
      </c>
      <c r="J12" s="17" t="s">
        <v>157</v>
      </c>
      <c r="K12" s="17"/>
      <c r="L12" s="17"/>
      <c r="M12" s="16" t="str">
        <f>HYPERLINK("http://slimages.macys.com/is/image/MCY/18821392 ")</f>
        <v xml:space="preserve">http://slimages.macys.com/is/image/MCY/18821392 </v>
      </c>
      <c r="N12" s="30"/>
    </row>
    <row r="13" spans="1:14" ht="60" x14ac:dyDescent="0.25">
      <c r="A13" s="19" t="s">
        <v>1608</v>
      </c>
      <c r="B13" s="17" t="s">
        <v>1607</v>
      </c>
      <c r="C13" s="20">
        <v>2</v>
      </c>
      <c r="D13" s="18">
        <v>345</v>
      </c>
      <c r="E13" s="20" t="s">
        <v>1606</v>
      </c>
      <c r="F13" s="17" t="s">
        <v>51</v>
      </c>
      <c r="G13" s="19" t="s">
        <v>197</v>
      </c>
      <c r="H13" s="18">
        <v>94.2</v>
      </c>
      <c r="I13" s="17" t="s">
        <v>133</v>
      </c>
      <c r="J13" s="17" t="s">
        <v>953</v>
      </c>
      <c r="K13" s="17"/>
      <c r="L13" s="17"/>
      <c r="M13" s="16" t="str">
        <f>HYPERLINK("http://slimages.macys.com/is/image/MCY/19446768 ")</f>
        <v xml:space="preserve">http://slimages.macys.com/is/image/MCY/19446768 </v>
      </c>
      <c r="N13" s="30"/>
    </row>
    <row r="14" spans="1:14" ht="60" x14ac:dyDescent="0.25">
      <c r="A14" s="19" t="s">
        <v>1605</v>
      </c>
      <c r="B14" s="17" t="s">
        <v>1604</v>
      </c>
      <c r="C14" s="20">
        <v>2</v>
      </c>
      <c r="D14" s="18">
        <v>325</v>
      </c>
      <c r="E14" s="20" t="s">
        <v>1601</v>
      </c>
      <c r="F14" s="17" t="s">
        <v>51</v>
      </c>
      <c r="G14" s="19" t="s">
        <v>197</v>
      </c>
      <c r="H14" s="18">
        <v>88.800000000000011</v>
      </c>
      <c r="I14" s="17" t="s">
        <v>133</v>
      </c>
      <c r="J14" s="17" t="s">
        <v>953</v>
      </c>
      <c r="K14" s="17"/>
      <c r="L14" s="17"/>
      <c r="M14" s="16" t="str">
        <f>HYPERLINK("http://slimages.macys.com/is/image/MCY/19446556 ")</f>
        <v xml:space="preserve">http://slimages.macys.com/is/image/MCY/19446556 </v>
      </c>
      <c r="N14" s="30"/>
    </row>
    <row r="15" spans="1:14" ht="60" x14ac:dyDescent="0.25">
      <c r="A15" s="19" t="s">
        <v>1603</v>
      </c>
      <c r="B15" s="17" t="s">
        <v>1602</v>
      </c>
      <c r="C15" s="20">
        <v>2</v>
      </c>
      <c r="D15" s="18">
        <v>325</v>
      </c>
      <c r="E15" s="20" t="s">
        <v>1601</v>
      </c>
      <c r="F15" s="17" t="s">
        <v>562</v>
      </c>
      <c r="G15" s="19" t="s">
        <v>197</v>
      </c>
      <c r="H15" s="18">
        <v>88.800000000000011</v>
      </c>
      <c r="I15" s="17" t="s">
        <v>133</v>
      </c>
      <c r="J15" s="17" t="s">
        <v>953</v>
      </c>
      <c r="K15" s="17"/>
      <c r="L15" s="17"/>
      <c r="M15" s="16" t="str">
        <f>HYPERLINK("http://slimages.macys.com/is/image/MCY/19446556 ")</f>
        <v xml:space="preserve">http://slimages.macys.com/is/image/MCY/19446556 </v>
      </c>
      <c r="N15" s="30"/>
    </row>
    <row r="16" spans="1:14" ht="60" x14ac:dyDescent="0.25">
      <c r="A16" s="19" t="s">
        <v>1600</v>
      </c>
      <c r="B16" s="17" t="s">
        <v>1599</v>
      </c>
      <c r="C16" s="20">
        <v>1</v>
      </c>
      <c r="D16" s="18">
        <v>325</v>
      </c>
      <c r="E16" s="20">
        <v>322128122000040</v>
      </c>
      <c r="F16" s="17" t="s">
        <v>70</v>
      </c>
      <c r="G16" s="19" t="s">
        <v>698</v>
      </c>
      <c r="H16" s="18">
        <v>86.4</v>
      </c>
      <c r="I16" s="17" t="s">
        <v>158</v>
      </c>
      <c r="J16" s="17" t="s">
        <v>946</v>
      </c>
      <c r="K16" s="17"/>
      <c r="L16" s="17"/>
      <c r="M16" s="16" t="str">
        <f>HYPERLINK("http://slimages.macys.com/is/image/MCY/19035930 ")</f>
        <v xml:space="preserve">http://slimages.macys.com/is/image/MCY/19035930 </v>
      </c>
      <c r="N16" s="30"/>
    </row>
    <row r="17" spans="1:14" ht="60" x14ac:dyDescent="0.25">
      <c r="A17" s="19" t="s">
        <v>1598</v>
      </c>
      <c r="B17" s="17" t="s">
        <v>1597</v>
      </c>
      <c r="C17" s="20">
        <v>1</v>
      </c>
      <c r="D17" s="18">
        <v>295</v>
      </c>
      <c r="E17" s="20">
        <v>513102176000030</v>
      </c>
      <c r="F17" s="17" t="s">
        <v>85</v>
      </c>
      <c r="G17" s="19" t="s">
        <v>898</v>
      </c>
      <c r="H17" s="18">
        <v>82.000000000000014</v>
      </c>
      <c r="I17" s="17" t="s">
        <v>158</v>
      </c>
      <c r="J17" s="17" t="s">
        <v>157</v>
      </c>
      <c r="K17" s="17"/>
      <c r="L17" s="17"/>
      <c r="M17" s="16" t="str">
        <f>HYPERLINK("http://slimages.macys.com/is/image/MCY/18948597 ")</f>
        <v xml:space="preserve">http://slimages.macys.com/is/image/MCY/18948597 </v>
      </c>
      <c r="N17" s="30"/>
    </row>
    <row r="18" spans="1:14" ht="60" x14ac:dyDescent="0.25">
      <c r="A18" s="19" t="s">
        <v>1596</v>
      </c>
      <c r="B18" s="17" t="s">
        <v>1595</v>
      </c>
      <c r="C18" s="20">
        <v>1</v>
      </c>
      <c r="D18" s="18">
        <v>295</v>
      </c>
      <c r="E18" s="20" t="s">
        <v>1592</v>
      </c>
      <c r="F18" s="17" t="s">
        <v>51</v>
      </c>
      <c r="G18" s="19" t="s">
        <v>954</v>
      </c>
      <c r="H18" s="18">
        <v>81</v>
      </c>
      <c r="I18" s="17" t="s">
        <v>133</v>
      </c>
      <c r="J18" s="17" t="s">
        <v>953</v>
      </c>
      <c r="K18" s="17"/>
      <c r="L18" s="17"/>
      <c r="M18" s="16" t="str">
        <f>HYPERLINK("http://slimages.macys.com/is/image/MCY/19449413 ")</f>
        <v xml:space="preserve">http://slimages.macys.com/is/image/MCY/19449413 </v>
      </c>
      <c r="N18" s="30"/>
    </row>
    <row r="19" spans="1:14" ht="60" x14ac:dyDescent="0.25">
      <c r="A19" s="19" t="s">
        <v>1594</v>
      </c>
      <c r="B19" s="17" t="s">
        <v>1593</v>
      </c>
      <c r="C19" s="20">
        <v>1</v>
      </c>
      <c r="D19" s="18">
        <v>295</v>
      </c>
      <c r="E19" s="20" t="s">
        <v>1592</v>
      </c>
      <c r="F19" s="17" t="s">
        <v>51</v>
      </c>
      <c r="G19" s="19" t="s">
        <v>74</v>
      </c>
      <c r="H19" s="18">
        <v>81</v>
      </c>
      <c r="I19" s="17" t="s">
        <v>133</v>
      </c>
      <c r="J19" s="17" t="s">
        <v>953</v>
      </c>
      <c r="K19" s="17"/>
      <c r="L19" s="17"/>
      <c r="M19" s="16" t="str">
        <f>HYPERLINK("http://slimages.macys.com/is/image/MCY/19449413 ")</f>
        <v xml:space="preserve">http://slimages.macys.com/is/image/MCY/19449413 </v>
      </c>
      <c r="N19" s="30"/>
    </row>
    <row r="20" spans="1:14" ht="60" x14ac:dyDescent="0.25">
      <c r="A20" s="19" t="s">
        <v>1591</v>
      </c>
      <c r="B20" s="17" t="s">
        <v>1590</v>
      </c>
      <c r="C20" s="20">
        <v>1</v>
      </c>
      <c r="D20" s="18">
        <v>295</v>
      </c>
      <c r="E20" s="20" t="s">
        <v>1589</v>
      </c>
      <c r="F20" s="17" t="s">
        <v>726</v>
      </c>
      <c r="G20" s="19" t="s">
        <v>197</v>
      </c>
      <c r="H20" s="18">
        <v>80.400000000000006</v>
      </c>
      <c r="I20" s="17" t="s">
        <v>133</v>
      </c>
      <c r="J20" s="17" t="s">
        <v>953</v>
      </c>
      <c r="K20" s="17"/>
      <c r="L20" s="17"/>
      <c r="M20" s="16" t="str">
        <f>HYPERLINK("http://slimages.macys.com/is/image/MCY/19449398 ")</f>
        <v xml:space="preserve">http://slimages.macys.com/is/image/MCY/19449398 </v>
      </c>
      <c r="N20" s="30"/>
    </row>
    <row r="21" spans="1:14" ht="60" x14ac:dyDescent="0.25">
      <c r="A21" s="19" t="s">
        <v>1588</v>
      </c>
      <c r="B21" s="17" t="s">
        <v>1587</v>
      </c>
      <c r="C21" s="20">
        <v>1</v>
      </c>
      <c r="D21" s="18">
        <v>295</v>
      </c>
      <c r="E21" s="20" t="s">
        <v>1586</v>
      </c>
      <c r="F21" s="17" t="s">
        <v>726</v>
      </c>
      <c r="G21" s="19" t="s">
        <v>954</v>
      </c>
      <c r="H21" s="18">
        <v>80.400000000000006</v>
      </c>
      <c r="I21" s="17" t="s">
        <v>133</v>
      </c>
      <c r="J21" s="17" t="s">
        <v>953</v>
      </c>
      <c r="K21" s="17"/>
      <c r="L21" s="17"/>
      <c r="M21" s="16" t="str">
        <f>HYPERLINK("http://slimages.macys.com/is/image/MCY/19449350 ")</f>
        <v xml:space="preserve">http://slimages.macys.com/is/image/MCY/19449350 </v>
      </c>
      <c r="N21" s="30"/>
    </row>
    <row r="22" spans="1:14" ht="72" x14ac:dyDescent="0.25">
      <c r="A22" s="19" t="s">
        <v>1585</v>
      </c>
      <c r="B22" s="17" t="s">
        <v>1584</v>
      </c>
      <c r="C22" s="20">
        <v>1</v>
      </c>
      <c r="D22" s="18">
        <v>285</v>
      </c>
      <c r="E22" s="20">
        <v>336121142000200</v>
      </c>
      <c r="F22" s="17" t="s">
        <v>28</v>
      </c>
      <c r="G22" s="19" t="s">
        <v>62</v>
      </c>
      <c r="H22" s="18">
        <v>79.333333333333343</v>
      </c>
      <c r="I22" s="17" t="s">
        <v>158</v>
      </c>
      <c r="J22" s="17" t="s">
        <v>946</v>
      </c>
      <c r="K22" s="17" t="s">
        <v>637</v>
      </c>
      <c r="L22" s="17" t="s">
        <v>1583</v>
      </c>
      <c r="M22" s="16" t="str">
        <f>HYPERLINK("http://images.bloomingdales.com/is/image/BLM/11384476 ")</f>
        <v xml:space="preserve">http://images.bloomingdales.com/is/image/BLM/11384476 </v>
      </c>
      <c r="N22" s="30"/>
    </row>
    <row r="23" spans="1:14" ht="60" x14ac:dyDescent="0.25">
      <c r="A23" s="19" t="s">
        <v>1582</v>
      </c>
      <c r="B23" s="17" t="s">
        <v>1581</v>
      </c>
      <c r="C23" s="20">
        <v>1</v>
      </c>
      <c r="D23" s="18">
        <v>285</v>
      </c>
      <c r="E23" s="20">
        <v>513112116000030</v>
      </c>
      <c r="F23" s="17" t="s">
        <v>85</v>
      </c>
      <c r="G23" s="19" t="s">
        <v>898</v>
      </c>
      <c r="H23" s="18">
        <v>79.333333333333343</v>
      </c>
      <c r="I23" s="17" t="s">
        <v>158</v>
      </c>
      <c r="J23" s="17" t="s">
        <v>157</v>
      </c>
      <c r="K23" s="17"/>
      <c r="L23" s="17"/>
      <c r="M23" s="16" t="str">
        <f>HYPERLINK("http://slimages.macys.com/is/image/MCY/18821366 ")</f>
        <v xml:space="preserve">http://slimages.macys.com/is/image/MCY/18821366 </v>
      </c>
      <c r="N23" s="30"/>
    </row>
    <row r="24" spans="1:14" ht="60" x14ac:dyDescent="0.25">
      <c r="A24" s="19" t="s">
        <v>1580</v>
      </c>
      <c r="B24" s="17" t="s">
        <v>1579</v>
      </c>
      <c r="C24" s="20">
        <v>1</v>
      </c>
      <c r="D24" s="18">
        <v>275</v>
      </c>
      <c r="E24" s="20" t="s">
        <v>955</v>
      </c>
      <c r="F24" s="17" t="s">
        <v>51</v>
      </c>
      <c r="G24" s="19" t="s">
        <v>954</v>
      </c>
      <c r="H24" s="18">
        <v>75</v>
      </c>
      <c r="I24" s="17" t="s">
        <v>133</v>
      </c>
      <c r="J24" s="17" t="s">
        <v>953</v>
      </c>
      <c r="K24" s="17"/>
      <c r="L24" s="17"/>
      <c r="M24" s="16" t="str">
        <f>HYPERLINK("http://slimages.macys.com/is/image/MCY/19449478 ")</f>
        <v xml:space="preserve">http://slimages.macys.com/is/image/MCY/19449478 </v>
      </c>
      <c r="N24" s="30"/>
    </row>
    <row r="25" spans="1:14" ht="60" x14ac:dyDescent="0.25">
      <c r="A25" s="19" t="s">
        <v>1578</v>
      </c>
      <c r="B25" s="17" t="s">
        <v>1577</v>
      </c>
      <c r="C25" s="20">
        <v>1</v>
      </c>
      <c r="D25" s="18">
        <v>275</v>
      </c>
      <c r="E25" s="20" t="s">
        <v>955</v>
      </c>
      <c r="F25" s="17" t="s">
        <v>51</v>
      </c>
      <c r="G25" s="19" t="s">
        <v>74</v>
      </c>
      <c r="H25" s="18">
        <v>75</v>
      </c>
      <c r="I25" s="17" t="s">
        <v>133</v>
      </c>
      <c r="J25" s="17" t="s">
        <v>953</v>
      </c>
      <c r="K25" s="17"/>
      <c r="L25" s="17"/>
      <c r="M25" s="16" t="str">
        <f>HYPERLINK("http://slimages.macys.com/is/image/MCY/19449478 ")</f>
        <v xml:space="preserve">http://slimages.macys.com/is/image/MCY/19449478 </v>
      </c>
      <c r="N25" s="30"/>
    </row>
    <row r="26" spans="1:14" ht="60" x14ac:dyDescent="0.25">
      <c r="A26" s="19" t="s">
        <v>1576</v>
      </c>
      <c r="B26" s="17" t="s">
        <v>1575</v>
      </c>
      <c r="C26" s="20">
        <v>1</v>
      </c>
      <c r="D26" s="18">
        <v>265</v>
      </c>
      <c r="E26" s="20">
        <v>536602196000180</v>
      </c>
      <c r="F26" s="17" t="s">
        <v>44</v>
      </c>
      <c r="G26" s="19" t="s">
        <v>69</v>
      </c>
      <c r="H26" s="18">
        <v>73.333333333333343</v>
      </c>
      <c r="I26" s="17" t="s">
        <v>158</v>
      </c>
      <c r="J26" s="17" t="s">
        <v>157</v>
      </c>
      <c r="K26" s="17"/>
      <c r="L26" s="17"/>
      <c r="M26" s="16" t="str">
        <f>HYPERLINK("http://slimages.macys.com/is/image/MCY/19224182 ")</f>
        <v xml:space="preserve">http://slimages.macys.com/is/image/MCY/19224182 </v>
      </c>
      <c r="N26" s="30"/>
    </row>
    <row r="27" spans="1:14" ht="60" x14ac:dyDescent="0.25">
      <c r="A27" s="19" t="s">
        <v>1574</v>
      </c>
      <c r="B27" s="17" t="s">
        <v>1573</v>
      </c>
      <c r="C27" s="20">
        <v>1</v>
      </c>
      <c r="D27" s="18">
        <v>245</v>
      </c>
      <c r="E27" s="20">
        <v>511603196000010</v>
      </c>
      <c r="F27" s="17" t="s">
        <v>23</v>
      </c>
      <c r="G27" s="19" t="s">
        <v>682</v>
      </c>
      <c r="H27" s="18">
        <v>68</v>
      </c>
      <c r="I27" s="17" t="s">
        <v>158</v>
      </c>
      <c r="J27" s="17" t="s">
        <v>157</v>
      </c>
      <c r="K27" s="17"/>
      <c r="L27" s="17"/>
      <c r="M27" s="16" t="str">
        <f>HYPERLINK("http://slimages.macys.com/is/image/MCY/19396460 ")</f>
        <v xml:space="preserve">http://slimages.macys.com/is/image/MCY/19396460 </v>
      </c>
      <c r="N27" s="30"/>
    </row>
    <row r="28" spans="1:14" ht="60" x14ac:dyDescent="0.25">
      <c r="A28" s="19" t="s">
        <v>1572</v>
      </c>
      <c r="B28" s="17" t="s">
        <v>1571</v>
      </c>
      <c r="C28" s="20">
        <v>1</v>
      </c>
      <c r="D28" s="18">
        <v>235</v>
      </c>
      <c r="E28" s="20" t="s">
        <v>1570</v>
      </c>
      <c r="F28" s="17" t="s">
        <v>75</v>
      </c>
      <c r="G28" s="19" t="s">
        <v>197</v>
      </c>
      <c r="H28" s="18">
        <v>64.2</v>
      </c>
      <c r="I28" s="17" t="s">
        <v>133</v>
      </c>
      <c r="J28" s="17" t="s">
        <v>953</v>
      </c>
      <c r="K28" s="17"/>
      <c r="L28" s="17"/>
      <c r="M28" s="16" t="str">
        <f>HYPERLINK("http://slimages.macys.com/is/image/MCY/19769124 ")</f>
        <v xml:space="preserve">http://slimages.macys.com/is/image/MCY/19769124 </v>
      </c>
      <c r="N28" s="30"/>
    </row>
    <row r="29" spans="1:14" ht="60" x14ac:dyDescent="0.25">
      <c r="A29" s="19" t="s">
        <v>1569</v>
      </c>
      <c r="B29" s="17" t="s">
        <v>1568</v>
      </c>
      <c r="C29" s="20">
        <v>1</v>
      </c>
      <c r="D29" s="18">
        <v>230</v>
      </c>
      <c r="E29" s="20">
        <v>313122122000020</v>
      </c>
      <c r="F29" s="17" t="s">
        <v>23</v>
      </c>
      <c r="G29" s="19" t="s">
        <v>96</v>
      </c>
      <c r="H29" s="18">
        <v>61.44</v>
      </c>
      <c r="I29" s="17" t="s">
        <v>158</v>
      </c>
      <c r="J29" s="17" t="s">
        <v>946</v>
      </c>
      <c r="K29" s="17" t="s">
        <v>1567</v>
      </c>
      <c r="L29" s="17" t="s">
        <v>1566</v>
      </c>
      <c r="M29" s="16" t="str">
        <f>HYPERLINK("http://images.bloomingdales.com/is/image/BLM/11430972 ")</f>
        <v xml:space="preserve">http://images.bloomingdales.com/is/image/BLM/11430972 </v>
      </c>
      <c r="N29" s="30"/>
    </row>
    <row r="30" spans="1:14" ht="84" x14ac:dyDescent="0.25">
      <c r="A30" s="19" t="s">
        <v>1565</v>
      </c>
      <c r="B30" s="17" t="s">
        <v>1564</v>
      </c>
      <c r="C30" s="20">
        <v>1</v>
      </c>
      <c r="D30" s="18">
        <v>198</v>
      </c>
      <c r="E30" s="20" t="s">
        <v>1563</v>
      </c>
      <c r="F30" s="17" t="s">
        <v>575</v>
      </c>
      <c r="G30" s="19"/>
      <c r="H30" s="18">
        <v>60</v>
      </c>
      <c r="I30" s="17" t="s">
        <v>148</v>
      </c>
      <c r="J30" s="17" t="s">
        <v>147</v>
      </c>
      <c r="K30" s="17" t="s">
        <v>771</v>
      </c>
      <c r="L30" s="17" t="s">
        <v>1562</v>
      </c>
      <c r="M30" s="16" t="str">
        <f>HYPERLINK("http://images.bloomingdales.com/is/image/BLM/11164990 ")</f>
        <v xml:space="preserve">http://images.bloomingdales.com/is/image/BLM/11164990 </v>
      </c>
      <c r="N30" s="30"/>
    </row>
    <row r="31" spans="1:14" ht="60" x14ac:dyDescent="0.25">
      <c r="A31" s="19" t="s">
        <v>1561</v>
      </c>
      <c r="B31" s="17" t="s">
        <v>1560</v>
      </c>
      <c r="C31" s="20">
        <v>1</v>
      </c>
      <c r="D31" s="18">
        <v>198</v>
      </c>
      <c r="E31" s="20" t="s">
        <v>1559</v>
      </c>
      <c r="F31" s="17" t="s">
        <v>345</v>
      </c>
      <c r="G31" s="19" t="s">
        <v>62</v>
      </c>
      <c r="H31" s="18">
        <v>56.84</v>
      </c>
      <c r="I31" s="17" t="s">
        <v>153</v>
      </c>
      <c r="J31" s="17" t="s">
        <v>153</v>
      </c>
      <c r="K31" s="17"/>
      <c r="L31" s="17"/>
      <c r="M31" s="16" t="str">
        <f>HYPERLINK("http://slimages.macys.com/is/image/MCY/18783437 ")</f>
        <v xml:space="preserve">http://slimages.macys.com/is/image/MCY/18783437 </v>
      </c>
      <c r="N31" s="30"/>
    </row>
    <row r="32" spans="1:14" ht="60" x14ac:dyDescent="0.25">
      <c r="A32" s="19" t="s">
        <v>1558</v>
      </c>
      <c r="B32" s="17" t="s">
        <v>1557</v>
      </c>
      <c r="C32" s="20">
        <v>1</v>
      </c>
      <c r="D32" s="18">
        <v>195</v>
      </c>
      <c r="E32" s="20" t="s">
        <v>1556</v>
      </c>
      <c r="F32" s="17" t="s">
        <v>726</v>
      </c>
      <c r="G32" s="19" t="s">
        <v>954</v>
      </c>
      <c r="H32" s="18">
        <v>53.4</v>
      </c>
      <c r="I32" s="17" t="s">
        <v>133</v>
      </c>
      <c r="J32" s="17" t="s">
        <v>953</v>
      </c>
      <c r="K32" s="17"/>
      <c r="L32" s="17"/>
      <c r="M32" s="16" t="str">
        <f>HYPERLINK("http://slimages.macys.com/is/image/MCY/19448721 ")</f>
        <v xml:space="preserve">http://slimages.macys.com/is/image/MCY/19448721 </v>
      </c>
      <c r="N32" s="30"/>
    </row>
    <row r="33" spans="1:14" ht="60" x14ac:dyDescent="0.25">
      <c r="A33" s="19" t="s">
        <v>1555</v>
      </c>
      <c r="B33" s="17" t="s">
        <v>1554</v>
      </c>
      <c r="C33" s="20">
        <v>1</v>
      </c>
      <c r="D33" s="18">
        <v>195</v>
      </c>
      <c r="E33" s="20" t="s">
        <v>1551</v>
      </c>
      <c r="F33" s="17" t="s">
        <v>508</v>
      </c>
      <c r="G33" s="19" t="s">
        <v>74</v>
      </c>
      <c r="H33" s="18">
        <v>53.4</v>
      </c>
      <c r="I33" s="17" t="s">
        <v>133</v>
      </c>
      <c r="J33" s="17" t="s">
        <v>953</v>
      </c>
      <c r="K33" s="17"/>
      <c r="L33" s="17"/>
      <c r="M33" s="16" t="str">
        <f>HYPERLINK("http://slimages.macys.com/is/image/MCY/19449277 ")</f>
        <v xml:space="preserve">http://slimages.macys.com/is/image/MCY/19449277 </v>
      </c>
      <c r="N33" s="30"/>
    </row>
    <row r="34" spans="1:14" ht="60" x14ac:dyDescent="0.25">
      <c r="A34" s="19" t="s">
        <v>1553</v>
      </c>
      <c r="B34" s="17" t="s">
        <v>1552</v>
      </c>
      <c r="C34" s="20">
        <v>1</v>
      </c>
      <c r="D34" s="18">
        <v>195</v>
      </c>
      <c r="E34" s="20" t="s">
        <v>1551</v>
      </c>
      <c r="F34" s="17" t="s">
        <v>508</v>
      </c>
      <c r="G34" s="19" t="s">
        <v>954</v>
      </c>
      <c r="H34" s="18">
        <v>53.4</v>
      </c>
      <c r="I34" s="17" t="s">
        <v>133</v>
      </c>
      <c r="J34" s="17" t="s">
        <v>953</v>
      </c>
      <c r="K34" s="17"/>
      <c r="L34" s="17"/>
      <c r="M34" s="16" t="str">
        <f>HYPERLINK("http://slimages.macys.com/is/image/MCY/19449277 ")</f>
        <v xml:space="preserve">http://slimages.macys.com/is/image/MCY/19449277 </v>
      </c>
      <c r="N34" s="30"/>
    </row>
    <row r="35" spans="1:14" ht="60" x14ac:dyDescent="0.25">
      <c r="A35" s="19" t="s">
        <v>1550</v>
      </c>
      <c r="B35" s="17" t="s">
        <v>1549</v>
      </c>
      <c r="C35" s="20">
        <v>1</v>
      </c>
      <c r="D35" s="18">
        <v>190</v>
      </c>
      <c r="E35" s="20">
        <v>316111122000040</v>
      </c>
      <c r="F35" s="17" t="s">
        <v>70</v>
      </c>
      <c r="G35" s="19" t="s">
        <v>658</v>
      </c>
      <c r="H35" s="18">
        <v>50.56</v>
      </c>
      <c r="I35" s="17" t="s">
        <v>158</v>
      </c>
      <c r="J35" s="17" t="s">
        <v>946</v>
      </c>
      <c r="K35" s="17"/>
      <c r="L35" s="17"/>
      <c r="M35" s="16" t="str">
        <f>HYPERLINK("http://slimages.macys.com/is/image/MCY/19181282 ")</f>
        <v xml:space="preserve">http://slimages.macys.com/is/image/MCY/19181282 </v>
      </c>
      <c r="N35" s="30"/>
    </row>
    <row r="36" spans="1:14" ht="60" x14ac:dyDescent="0.25">
      <c r="A36" s="19" t="s">
        <v>1548</v>
      </c>
      <c r="B36" s="17" t="s">
        <v>1547</v>
      </c>
      <c r="C36" s="20">
        <v>1</v>
      </c>
      <c r="D36" s="18">
        <v>195</v>
      </c>
      <c r="E36" s="20" t="s">
        <v>1540</v>
      </c>
      <c r="F36" s="17" t="s">
        <v>51</v>
      </c>
      <c r="G36" s="19" t="s">
        <v>954</v>
      </c>
      <c r="H36" s="18">
        <v>50.4</v>
      </c>
      <c r="I36" s="17" t="s">
        <v>133</v>
      </c>
      <c r="J36" s="17" t="s">
        <v>953</v>
      </c>
      <c r="K36" s="17"/>
      <c r="L36" s="17"/>
      <c r="M36" s="16" t="str">
        <f>HYPERLINK("http://slimages.macys.com/is/image/MCY/19448688 ")</f>
        <v xml:space="preserve">http://slimages.macys.com/is/image/MCY/19448688 </v>
      </c>
      <c r="N36" s="30"/>
    </row>
    <row r="37" spans="1:14" ht="60" x14ac:dyDescent="0.25">
      <c r="A37" s="19" t="s">
        <v>1546</v>
      </c>
      <c r="B37" s="17" t="s">
        <v>1545</v>
      </c>
      <c r="C37" s="20">
        <v>1</v>
      </c>
      <c r="D37" s="18">
        <v>195</v>
      </c>
      <c r="E37" s="20" t="s">
        <v>1540</v>
      </c>
      <c r="F37" s="17" t="s">
        <v>562</v>
      </c>
      <c r="G37" s="19" t="s">
        <v>74</v>
      </c>
      <c r="H37" s="18">
        <v>50.4</v>
      </c>
      <c r="I37" s="17" t="s">
        <v>133</v>
      </c>
      <c r="J37" s="17" t="s">
        <v>953</v>
      </c>
      <c r="K37" s="17"/>
      <c r="L37" s="17"/>
      <c r="M37" s="16" t="str">
        <f>HYPERLINK("http://slimages.macys.com/is/image/MCY/19448688 ")</f>
        <v xml:space="preserve">http://slimages.macys.com/is/image/MCY/19448688 </v>
      </c>
      <c r="N37" s="30"/>
    </row>
    <row r="38" spans="1:14" ht="60" x14ac:dyDescent="0.25">
      <c r="A38" s="19" t="s">
        <v>1544</v>
      </c>
      <c r="B38" s="17" t="s">
        <v>1543</v>
      </c>
      <c r="C38" s="20">
        <v>1</v>
      </c>
      <c r="D38" s="18">
        <v>195</v>
      </c>
      <c r="E38" s="20" t="s">
        <v>1540</v>
      </c>
      <c r="F38" s="17" t="s">
        <v>51</v>
      </c>
      <c r="G38" s="19" t="s">
        <v>74</v>
      </c>
      <c r="H38" s="18">
        <v>50.4</v>
      </c>
      <c r="I38" s="17" t="s">
        <v>133</v>
      </c>
      <c r="J38" s="17" t="s">
        <v>953</v>
      </c>
      <c r="K38" s="17"/>
      <c r="L38" s="17"/>
      <c r="M38" s="16" t="str">
        <f>HYPERLINK("http://slimages.macys.com/is/image/MCY/19448688 ")</f>
        <v xml:space="preserve">http://slimages.macys.com/is/image/MCY/19448688 </v>
      </c>
      <c r="N38" s="30"/>
    </row>
    <row r="39" spans="1:14" ht="60" x14ac:dyDescent="0.25">
      <c r="A39" s="19" t="s">
        <v>1542</v>
      </c>
      <c r="B39" s="17" t="s">
        <v>1541</v>
      </c>
      <c r="C39" s="20">
        <v>2</v>
      </c>
      <c r="D39" s="18">
        <v>195</v>
      </c>
      <c r="E39" s="20" t="s">
        <v>1540</v>
      </c>
      <c r="F39" s="17" t="s">
        <v>51</v>
      </c>
      <c r="G39" s="19" t="s">
        <v>62</v>
      </c>
      <c r="H39" s="18">
        <v>50.4</v>
      </c>
      <c r="I39" s="17" t="s">
        <v>133</v>
      </c>
      <c r="J39" s="17" t="s">
        <v>953</v>
      </c>
      <c r="K39" s="17"/>
      <c r="L39" s="17"/>
      <c r="M39" s="16" t="str">
        <f>HYPERLINK("http://slimages.macys.com/is/image/MCY/19448688 ")</f>
        <v xml:space="preserve">http://slimages.macys.com/is/image/MCY/19448688 </v>
      </c>
      <c r="N39" s="30"/>
    </row>
    <row r="40" spans="1:14" ht="84" x14ac:dyDescent="0.25">
      <c r="A40" s="19" t="s">
        <v>1539</v>
      </c>
      <c r="B40" s="17" t="s">
        <v>1538</v>
      </c>
      <c r="C40" s="20">
        <v>1</v>
      </c>
      <c r="D40" s="18">
        <v>209.99</v>
      </c>
      <c r="E40" s="20" t="s">
        <v>1537</v>
      </c>
      <c r="F40" s="17" t="s">
        <v>1536</v>
      </c>
      <c r="G40" s="19" t="s">
        <v>96</v>
      </c>
      <c r="H40" s="18">
        <v>49</v>
      </c>
      <c r="I40" s="17" t="s">
        <v>854</v>
      </c>
      <c r="J40" s="17" t="s">
        <v>496</v>
      </c>
      <c r="K40" s="17" t="s">
        <v>389</v>
      </c>
      <c r="L40" s="17" t="s">
        <v>1154</v>
      </c>
      <c r="M40" s="16" t="str">
        <f>HYPERLINK("http://slimages.macys.com/is/image/MCY/15434796 ")</f>
        <v xml:space="preserve">http://slimages.macys.com/is/image/MCY/15434796 </v>
      </c>
      <c r="N40" s="30"/>
    </row>
    <row r="41" spans="1:14" ht="60" x14ac:dyDescent="0.25">
      <c r="A41" s="19" t="s">
        <v>1535</v>
      </c>
      <c r="B41" s="17" t="s">
        <v>1534</v>
      </c>
      <c r="C41" s="20">
        <v>2</v>
      </c>
      <c r="D41" s="18">
        <v>175</v>
      </c>
      <c r="E41" s="20">
        <v>397102142000010</v>
      </c>
      <c r="F41" s="17" t="s">
        <v>23</v>
      </c>
      <c r="G41" s="19" t="s">
        <v>62</v>
      </c>
      <c r="H41" s="18">
        <v>48.666666666666664</v>
      </c>
      <c r="I41" s="17" t="s">
        <v>158</v>
      </c>
      <c r="J41" s="17" t="s">
        <v>946</v>
      </c>
      <c r="K41" s="17"/>
      <c r="L41" s="17"/>
      <c r="M41" s="16" t="str">
        <f>HYPERLINK("http://slimages.macys.com/is/image/MCY/18941641 ")</f>
        <v xml:space="preserve">http://slimages.macys.com/is/image/MCY/18941641 </v>
      </c>
      <c r="N41" s="30"/>
    </row>
    <row r="42" spans="1:14" ht="60" x14ac:dyDescent="0.25">
      <c r="A42" s="19" t="s">
        <v>1533</v>
      </c>
      <c r="B42" s="17" t="s">
        <v>1532</v>
      </c>
      <c r="C42" s="20">
        <v>3</v>
      </c>
      <c r="D42" s="18">
        <v>140</v>
      </c>
      <c r="E42" s="20" t="s">
        <v>1531</v>
      </c>
      <c r="F42" s="17" t="s">
        <v>23</v>
      </c>
      <c r="G42" s="19" t="s">
        <v>74</v>
      </c>
      <c r="H42" s="18">
        <v>46.666666666666671</v>
      </c>
      <c r="I42" s="17" t="s">
        <v>133</v>
      </c>
      <c r="J42" s="17" t="s">
        <v>1530</v>
      </c>
      <c r="K42" s="17"/>
      <c r="L42" s="17"/>
      <c r="M42" s="16" t="str">
        <f>HYPERLINK("http://slimages.macys.com/is/image/MCY/19545283 ")</f>
        <v xml:space="preserve">http://slimages.macys.com/is/image/MCY/19545283 </v>
      </c>
      <c r="N42" s="30"/>
    </row>
    <row r="43" spans="1:14" ht="60" x14ac:dyDescent="0.25">
      <c r="A43" s="19" t="s">
        <v>1529</v>
      </c>
      <c r="B43" s="17" t="s">
        <v>1528</v>
      </c>
      <c r="C43" s="20">
        <v>1</v>
      </c>
      <c r="D43" s="18">
        <v>199</v>
      </c>
      <c r="E43" s="20" t="s">
        <v>1527</v>
      </c>
      <c r="F43" s="17" t="s">
        <v>1526</v>
      </c>
      <c r="G43" s="19" t="s">
        <v>658</v>
      </c>
      <c r="H43" s="18">
        <v>46.433333333333337</v>
      </c>
      <c r="I43" s="17" t="s">
        <v>854</v>
      </c>
      <c r="J43" s="17" t="s">
        <v>496</v>
      </c>
      <c r="K43" s="17"/>
      <c r="L43" s="17"/>
      <c r="M43" s="16" t="str">
        <f>HYPERLINK("http://slimages.macys.com/is/image/MCY/18137888 ")</f>
        <v xml:space="preserve">http://slimages.macys.com/is/image/MCY/18137888 </v>
      </c>
      <c r="N43" s="30"/>
    </row>
    <row r="44" spans="1:14" ht="60" x14ac:dyDescent="0.25">
      <c r="A44" s="19" t="s">
        <v>1525</v>
      </c>
      <c r="B44" s="17" t="s">
        <v>1524</v>
      </c>
      <c r="C44" s="20">
        <v>1</v>
      </c>
      <c r="D44" s="18">
        <v>145</v>
      </c>
      <c r="E44" s="20" t="s">
        <v>1517</v>
      </c>
      <c r="F44" s="17" t="s">
        <v>1382</v>
      </c>
      <c r="G44" s="19" t="s">
        <v>69</v>
      </c>
      <c r="H44" s="18">
        <v>39.6</v>
      </c>
      <c r="I44" s="17" t="s">
        <v>133</v>
      </c>
      <c r="J44" s="17" t="s">
        <v>953</v>
      </c>
      <c r="K44" s="17"/>
      <c r="L44" s="17"/>
      <c r="M44" s="16" t="str">
        <f>HYPERLINK("http://slimages.macys.com/is/image/MCY/19449305 ")</f>
        <v xml:space="preserve">http://slimages.macys.com/is/image/MCY/19449305 </v>
      </c>
      <c r="N44" s="30"/>
    </row>
    <row r="45" spans="1:14" ht="60" x14ac:dyDescent="0.25">
      <c r="A45" s="19" t="s">
        <v>1523</v>
      </c>
      <c r="B45" s="17" t="s">
        <v>1522</v>
      </c>
      <c r="C45" s="20">
        <v>1</v>
      </c>
      <c r="D45" s="18">
        <v>145</v>
      </c>
      <c r="E45" s="20" t="s">
        <v>1517</v>
      </c>
      <c r="F45" s="17" t="s">
        <v>1382</v>
      </c>
      <c r="G45" s="19" t="s">
        <v>954</v>
      </c>
      <c r="H45" s="18">
        <v>39.6</v>
      </c>
      <c r="I45" s="17" t="s">
        <v>133</v>
      </c>
      <c r="J45" s="17" t="s">
        <v>953</v>
      </c>
      <c r="K45" s="17"/>
      <c r="L45" s="17"/>
      <c r="M45" s="16" t="str">
        <f>HYPERLINK("http://slimages.macys.com/is/image/MCY/19449305 ")</f>
        <v xml:space="preserve">http://slimages.macys.com/is/image/MCY/19449305 </v>
      </c>
      <c r="N45" s="30"/>
    </row>
    <row r="46" spans="1:14" ht="60" x14ac:dyDescent="0.25">
      <c r="A46" s="19" t="s">
        <v>1521</v>
      </c>
      <c r="B46" s="17" t="s">
        <v>1520</v>
      </c>
      <c r="C46" s="20">
        <v>1</v>
      </c>
      <c r="D46" s="18">
        <v>145</v>
      </c>
      <c r="E46" s="20" t="s">
        <v>1517</v>
      </c>
      <c r="F46" s="17" t="s">
        <v>1382</v>
      </c>
      <c r="G46" s="19" t="s">
        <v>62</v>
      </c>
      <c r="H46" s="18">
        <v>39.6</v>
      </c>
      <c r="I46" s="17" t="s">
        <v>133</v>
      </c>
      <c r="J46" s="17" t="s">
        <v>953</v>
      </c>
      <c r="K46" s="17"/>
      <c r="L46" s="17"/>
      <c r="M46" s="16" t="str">
        <f>HYPERLINK("http://slimages.macys.com/is/image/MCY/19449305 ")</f>
        <v xml:space="preserve">http://slimages.macys.com/is/image/MCY/19449305 </v>
      </c>
      <c r="N46" s="30"/>
    </row>
    <row r="47" spans="1:14" ht="60" x14ac:dyDescent="0.25">
      <c r="A47" s="19" t="s">
        <v>1519</v>
      </c>
      <c r="B47" s="17" t="s">
        <v>1518</v>
      </c>
      <c r="C47" s="20">
        <v>1</v>
      </c>
      <c r="D47" s="18">
        <v>145</v>
      </c>
      <c r="E47" s="20" t="s">
        <v>1517</v>
      </c>
      <c r="F47" s="17" t="s">
        <v>1382</v>
      </c>
      <c r="G47" s="19" t="s">
        <v>74</v>
      </c>
      <c r="H47" s="18">
        <v>39.6</v>
      </c>
      <c r="I47" s="17" t="s">
        <v>133</v>
      </c>
      <c r="J47" s="17" t="s">
        <v>953</v>
      </c>
      <c r="K47" s="17"/>
      <c r="L47" s="17"/>
      <c r="M47" s="16" t="str">
        <f>HYPERLINK("http://slimages.macys.com/is/image/MCY/19449305 ")</f>
        <v xml:space="preserve">http://slimages.macys.com/is/image/MCY/19449305 </v>
      </c>
      <c r="N47" s="30"/>
    </row>
    <row r="48" spans="1:14" ht="60" x14ac:dyDescent="0.25">
      <c r="A48" s="19" t="s">
        <v>1516</v>
      </c>
      <c r="B48" s="17" t="s">
        <v>1515</v>
      </c>
      <c r="C48" s="20">
        <v>1</v>
      </c>
      <c r="D48" s="18">
        <v>145</v>
      </c>
      <c r="E48" s="20" t="s">
        <v>1512</v>
      </c>
      <c r="F48" s="17" t="s">
        <v>1382</v>
      </c>
      <c r="G48" s="19" t="s">
        <v>197</v>
      </c>
      <c r="H48" s="18">
        <v>39.6</v>
      </c>
      <c r="I48" s="17" t="s">
        <v>133</v>
      </c>
      <c r="J48" s="17" t="s">
        <v>953</v>
      </c>
      <c r="K48" s="17"/>
      <c r="L48" s="17"/>
      <c r="M48" s="16" t="str">
        <f>HYPERLINK("http://slimages.macys.com/is/image/MCY/19449554 ")</f>
        <v xml:space="preserve">http://slimages.macys.com/is/image/MCY/19449554 </v>
      </c>
      <c r="N48" s="30"/>
    </row>
    <row r="49" spans="1:14" ht="60" x14ac:dyDescent="0.25">
      <c r="A49" s="19" t="s">
        <v>1514</v>
      </c>
      <c r="B49" s="17" t="s">
        <v>1513</v>
      </c>
      <c r="C49" s="20">
        <v>1</v>
      </c>
      <c r="D49" s="18">
        <v>145</v>
      </c>
      <c r="E49" s="20" t="s">
        <v>1512</v>
      </c>
      <c r="F49" s="17" t="s">
        <v>1382</v>
      </c>
      <c r="G49" s="19" t="s">
        <v>62</v>
      </c>
      <c r="H49" s="18">
        <v>39.6</v>
      </c>
      <c r="I49" s="17" t="s">
        <v>133</v>
      </c>
      <c r="J49" s="17" t="s">
        <v>953</v>
      </c>
      <c r="K49" s="17"/>
      <c r="L49" s="17"/>
      <c r="M49" s="16" t="str">
        <f>HYPERLINK("http://slimages.macys.com/is/image/MCY/19449554 ")</f>
        <v xml:space="preserve">http://slimages.macys.com/is/image/MCY/19449554 </v>
      </c>
      <c r="N49" s="30"/>
    </row>
    <row r="50" spans="1:14" ht="60" x14ac:dyDescent="0.25">
      <c r="A50" s="19" t="s">
        <v>1511</v>
      </c>
      <c r="B50" s="17" t="s">
        <v>1510</v>
      </c>
      <c r="C50" s="20">
        <v>1</v>
      </c>
      <c r="D50" s="18">
        <v>185</v>
      </c>
      <c r="E50" s="20" t="s">
        <v>1509</v>
      </c>
      <c r="F50" s="17" t="s">
        <v>140</v>
      </c>
      <c r="G50" s="19" t="s">
        <v>74</v>
      </c>
      <c r="H50" s="18">
        <v>39.333333333333336</v>
      </c>
      <c r="I50" s="17" t="s">
        <v>133</v>
      </c>
      <c r="J50" s="17" t="s">
        <v>833</v>
      </c>
      <c r="K50" s="17"/>
      <c r="L50" s="17"/>
      <c r="M50" s="16" t="str">
        <f>HYPERLINK("http://slimages.macys.com/is/image/MCY/19547018 ")</f>
        <v xml:space="preserve">http://slimages.macys.com/is/image/MCY/19547018 </v>
      </c>
      <c r="N50" s="30"/>
    </row>
    <row r="51" spans="1:14" ht="60" x14ac:dyDescent="0.25">
      <c r="A51" s="19" t="s">
        <v>1508</v>
      </c>
      <c r="B51" s="17" t="s">
        <v>1507</v>
      </c>
      <c r="C51" s="20">
        <v>1</v>
      </c>
      <c r="D51" s="18">
        <v>168</v>
      </c>
      <c r="E51" s="20" t="s">
        <v>1506</v>
      </c>
      <c r="F51" s="17" t="s">
        <v>764</v>
      </c>
      <c r="G51" s="19" t="s">
        <v>50</v>
      </c>
      <c r="H51" s="18">
        <v>37.073333333333338</v>
      </c>
      <c r="I51" s="17" t="s">
        <v>49</v>
      </c>
      <c r="J51" s="17" t="s">
        <v>48</v>
      </c>
      <c r="K51" s="17"/>
      <c r="L51" s="17"/>
      <c r="M51" s="16" t="str">
        <f>HYPERLINK("http://slimages.macys.com/is/image/MCY/19507880 ")</f>
        <v xml:space="preserve">http://slimages.macys.com/is/image/MCY/19507880 </v>
      </c>
      <c r="N51" s="30"/>
    </row>
    <row r="52" spans="1:14" ht="60" x14ac:dyDescent="0.25">
      <c r="A52" s="19" t="s">
        <v>1505</v>
      </c>
      <c r="B52" s="17" t="s">
        <v>1504</v>
      </c>
      <c r="C52" s="20">
        <v>1</v>
      </c>
      <c r="D52" s="18">
        <v>129.99</v>
      </c>
      <c r="E52" s="20">
        <v>50039881</v>
      </c>
      <c r="F52" s="17" t="s">
        <v>51</v>
      </c>
      <c r="G52" s="19" t="s">
        <v>1292</v>
      </c>
      <c r="H52" s="18">
        <v>36.666666666666671</v>
      </c>
      <c r="I52" s="17" t="s">
        <v>879</v>
      </c>
      <c r="J52" s="17" t="s">
        <v>850</v>
      </c>
      <c r="K52" s="17"/>
      <c r="L52" s="17"/>
      <c r="M52" s="16" t="str">
        <f>HYPERLINK("http://slimages.macys.com/is/image/MCY/18582960 ")</f>
        <v xml:space="preserve">http://slimages.macys.com/is/image/MCY/18582960 </v>
      </c>
      <c r="N52" s="30"/>
    </row>
    <row r="53" spans="1:14" ht="60" x14ac:dyDescent="0.25">
      <c r="A53" s="19" t="s">
        <v>1503</v>
      </c>
      <c r="B53" s="17" t="s">
        <v>1502</v>
      </c>
      <c r="C53" s="20">
        <v>1</v>
      </c>
      <c r="D53" s="18">
        <v>120</v>
      </c>
      <c r="E53" s="20" t="s">
        <v>1501</v>
      </c>
      <c r="F53" s="17" t="s">
        <v>578</v>
      </c>
      <c r="G53" s="19" t="s">
        <v>857</v>
      </c>
      <c r="H53" s="18">
        <v>36.666666666666671</v>
      </c>
      <c r="I53" s="17" t="s">
        <v>481</v>
      </c>
      <c r="J53" s="17" t="s">
        <v>1500</v>
      </c>
      <c r="K53" s="17"/>
      <c r="L53" s="17"/>
      <c r="M53" s="16" t="str">
        <f>HYPERLINK("http://slimages.macys.com/is/image/MCY/18947062 ")</f>
        <v xml:space="preserve">http://slimages.macys.com/is/image/MCY/18947062 </v>
      </c>
      <c r="N53" s="30"/>
    </row>
    <row r="54" spans="1:14" ht="60" x14ac:dyDescent="0.25">
      <c r="A54" s="19" t="s">
        <v>1499</v>
      </c>
      <c r="B54" s="17" t="s">
        <v>1498</v>
      </c>
      <c r="C54" s="20">
        <v>1</v>
      </c>
      <c r="D54" s="18">
        <v>135</v>
      </c>
      <c r="E54" s="20" t="s">
        <v>1493</v>
      </c>
      <c r="F54" s="17" t="s">
        <v>23</v>
      </c>
      <c r="G54" s="19" t="s">
        <v>954</v>
      </c>
      <c r="H54" s="18">
        <v>36.6</v>
      </c>
      <c r="I54" s="17" t="s">
        <v>133</v>
      </c>
      <c r="J54" s="17" t="s">
        <v>953</v>
      </c>
      <c r="K54" s="17"/>
      <c r="L54" s="17"/>
      <c r="M54" s="16" t="str">
        <f>HYPERLINK("http://slimages.macys.com/is/image/MCY/19499558 ")</f>
        <v xml:space="preserve">http://slimages.macys.com/is/image/MCY/19499558 </v>
      </c>
      <c r="N54" s="30"/>
    </row>
    <row r="55" spans="1:14" ht="60" x14ac:dyDescent="0.25">
      <c r="A55" s="19" t="s">
        <v>1497</v>
      </c>
      <c r="B55" s="17" t="s">
        <v>1496</v>
      </c>
      <c r="C55" s="20">
        <v>1</v>
      </c>
      <c r="D55" s="18">
        <v>135</v>
      </c>
      <c r="E55" s="20" t="s">
        <v>1493</v>
      </c>
      <c r="F55" s="17" t="s">
        <v>23</v>
      </c>
      <c r="G55" s="19" t="s">
        <v>74</v>
      </c>
      <c r="H55" s="18">
        <v>36.6</v>
      </c>
      <c r="I55" s="17" t="s">
        <v>133</v>
      </c>
      <c r="J55" s="17" t="s">
        <v>953</v>
      </c>
      <c r="K55" s="17"/>
      <c r="L55" s="17"/>
      <c r="M55" s="16" t="str">
        <f>HYPERLINK("http://slimages.macys.com/is/image/MCY/19499558 ")</f>
        <v xml:space="preserve">http://slimages.macys.com/is/image/MCY/19499558 </v>
      </c>
      <c r="N55" s="30"/>
    </row>
    <row r="56" spans="1:14" ht="60" x14ac:dyDescent="0.25">
      <c r="A56" s="19" t="s">
        <v>1495</v>
      </c>
      <c r="B56" s="17" t="s">
        <v>1494</v>
      </c>
      <c r="C56" s="20">
        <v>1</v>
      </c>
      <c r="D56" s="18">
        <v>135</v>
      </c>
      <c r="E56" s="20" t="s">
        <v>1493</v>
      </c>
      <c r="F56" s="17" t="s">
        <v>75</v>
      </c>
      <c r="G56" s="19" t="s">
        <v>62</v>
      </c>
      <c r="H56" s="18">
        <v>36.6</v>
      </c>
      <c r="I56" s="17" t="s">
        <v>133</v>
      </c>
      <c r="J56" s="17" t="s">
        <v>953</v>
      </c>
      <c r="K56" s="17"/>
      <c r="L56" s="17"/>
      <c r="M56" s="16" t="str">
        <f>HYPERLINK("http://slimages.macys.com/is/image/MCY/19499558 ")</f>
        <v xml:space="preserve">http://slimages.macys.com/is/image/MCY/19499558 </v>
      </c>
      <c r="N56" s="30"/>
    </row>
    <row r="57" spans="1:14" ht="60" x14ac:dyDescent="0.25">
      <c r="A57" s="19" t="s">
        <v>1492</v>
      </c>
      <c r="B57" s="17" t="s">
        <v>1491</v>
      </c>
      <c r="C57" s="20">
        <v>1</v>
      </c>
      <c r="D57" s="18">
        <v>125</v>
      </c>
      <c r="E57" s="20" t="s">
        <v>1483</v>
      </c>
      <c r="F57" s="17" t="s">
        <v>75</v>
      </c>
      <c r="G57" s="19" t="s">
        <v>954</v>
      </c>
      <c r="H57" s="18">
        <v>34.200000000000003</v>
      </c>
      <c r="I57" s="17" t="s">
        <v>133</v>
      </c>
      <c r="J57" s="17" t="s">
        <v>953</v>
      </c>
      <c r="K57" s="17"/>
      <c r="L57" s="17"/>
      <c r="M57" s="16" t="str">
        <f>HYPERLINK("http://slimages.macys.com/is/image/MCY/19449331 ")</f>
        <v xml:space="preserve">http://slimages.macys.com/is/image/MCY/19449331 </v>
      </c>
      <c r="N57" s="30"/>
    </row>
    <row r="58" spans="1:14" ht="60" x14ac:dyDescent="0.25">
      <c r="A58" s="19" t="s">
        <v>1490</v>
      </c>
      <c r="B58" s="17" t="s">
        <v>1489</v>
      </c>
      <c r="C58" s="20">
        <v>2</v>
      </c>
      <c r="D58" s="18">
        <v>125</v>
      </c>
      <c r="E58" s="20" t="s">
        <v>1483</v>
      </c>
      <c r="F58" s="17" t="s">
        <v>1486</v>
      </c>
      <c r="G58" s="19" t="s">
        <v>954</v>
      </c>
      <c r="H58" s="18">
        <v>34.200000000000003</v>
      </c>
      <c r="I58" s="17" t="s">
        <v>133</v>
      </c>
      <c r="J58" s="17" t="s">
        <v>953</v>
      </c>
      <c r="K58" s="17"/>
      <c r="L58" s="17"/>
      <c r="M58" s="16" t="str">
        <f>HYPERLINK("http://slimages.macys.com/is/image/MCY/19449331 ")</f>
        <v xml:space="preserve">http://slimages.macys.com/is/image/MCY/19449331 </v>
      </c>
      <c r="N58" s="30"/>
    </row>
    <row r="59" spans="1:14" ht="60" x14ac:dyDescent="0.25">
      <c r="A59" s="19" t="s">
        <v>1488</v>
      </c>
      <c r="B59" s="17" t="s">
        <v>1487</v>
      </c>
      <c r="C59" s="20">
        <v>1</v>
      </c>
      <c r="D59" s="18">
        <v>125</v>
      </c>
      <c r="E59" s="20" t="s">
        <v>1483</v>
      </c>
      <c r="F59" s="17" t="s">
        <v>1486</v>
      </c>
      <c r="G59" s="19" t="s">
        <v>74</v>
      </c>
      <c r="H59" s="18">
        <v>34.200000000000003</v>
      </c>
      <c r="I59" s="17" t="s">
        <v>133</v>
      </c>
      <c r="J59" s="17" t="s">
        <v>953</v>
      </c>
      <c r="K59" s="17"/>
      <c r="L59" s="17"/>
      <c r="M59" s="16" t="str">
        <f>HYPERLINK("http://slimages.macys.com/is/image/MCY/19449331 ")</f>
        <v xml:space="preserve">http://slimages.macys.com/is/image/MCY/19449331 </v>
      </c>
      <c r="N59" s="30"/>
    </row>
    <row r="60" spans="1:14" ht="60" x14ac:dyDescent="0.25">
      <c r="A60" s="19" t="s">
        <v>1485</v>
      </c>
      <c r="B60" s="17" t="s">
        <v>1484</v>
      </c>
      <c r="C60" s="20">
        <v>1</v>
      </c>
      <c r="D60" s="18">
        <v>125</v>
      </c>
      <c r="E60" s="20" t="s">
        <v>1483</v>
      </c>
      <c r="F60" s="17" t="s">
        <v>75</v>
      </c>
      <c r="G60" s="19" t="s">
        <v>62</v>
      </c>
      <c r="H60" s="18">
        <v>34.200000000000003</v>
      </c>
      <c r="I60" s="17" t="s">
        <v>133</v>
      </c>
      <c r="J60" s="17" t="s">
        <v>953</v>
      </c>
      <c r="K60" s="17"/>
      <c r="L60" s="17"/>
      <c r="M60" s="16" t="str">
        <f>HYPERLINK("http://slimages.macys.com/is/image/MCY/19449331 ")</f>
        <v xml:space="preserve">http://slimages.macys.com/is/image/MCY/19449331 </v>
      </c>
      <c r="N60" s="30"/>
    </row>
    <row r="61" spans="1:14" ht="60" x14ac:dyDescent="0.25">
      <c r="A61" s="19" t="s">
        <v>1482</v>
      </c>
      <c r="B61" s="17" t="s">
        <v>1481</v>
      </c>
      <c r="C61" s="20">
        <v>1</v>
      </c>
      <c r="D61" s="18">
        <v>125</v>
      </c>
      <c r="E61" s="20">
        <v>1007</v>
      </c>
      <c r="F61" s="17" t="s">
        <v>575</v>
      </c>
      <c r="G61" s="19" t="s">
        <v>74</v>
      </c>
      <c r="H61" s="18">
        <v>33.333333333333336</v>
      </c>
      <c r="I61" s="17" t="s">
        <v>133</v>
      </c>
      <c r="J61" s="17" t="s">
        <v>1480</v>
      </c>
      <c r="K61" s="17"/>
      <c r="L61" s="17"/>
      <c r="M61" s="16" t="str">
        <f>HYPERLINK("http://slimages.macys.com/is/image/MCY/19008910 ")</f>
        <v xml:space="preserve">http://slimages.macys.com/is/image/MCY/19008910 </v>
      </c>
      <c r="N61" s="30"/>
    </row>
    <row r="62" spans="1:14" ht="60" x14ac:dyDescent="0.25">
      <c r="A62" s="19" t="s">
        <v>1479</v>
      </c>
      <c r="B62" s="17" t="s">
        <v>1478</v>
      </c>
      <c r="C62" s="20">
        <v>1</v>
      </c>
      <c r="D62" s="18">
        <v>148</v>
      </c>
      <c r="E62" s="20" t="s">
        <v>1477</v>
      </c>
      <c r="F62" s="17" t="s">
        <v>23</v>
      </c>
      <c r="G62" s="19" t="s">
        <v>17</v>
      </c>
      <c r="H62" s="18">
        <v>32.660000000000004</v>
      </c>
      <c r="I62" s="17" t="s">
        <v>49</v>
      </c>
      <c r="J62" s="17" t="s">
        <v>48</v>
      </c>
      <c r="K62" s="17"/>
      <c r="L62" s="17"/>
      <c r="M62" s="16" t="str">
        <f>HYPERLINK("http://slimages.macys.com/is/image/MCY/18990513 ")</f>
        <v xml:space="preserve">http://slimages.macys.com/is/image/MCY/18990513 </v>
      </c>
      <c r="N62" s="30"/>
    </row>
    <row r="63" spans="1:14" ht="60" x14ac:dyDescent="0.25">
      <c r="A63" s="19" t="s">
        <v>1476</v>
      </c>
      <c r="B63" s="17" t="s">
        <v>1475</v>
      </c>
      <c r="C63" s="20">
        <v>1</v>
      </c>
      <c r="D63" s="18">
        <v>148</v>
      </c>
      <c r="E63" s="20" t="s">
        <v>1474</v>
      </c>
      <c r="F63" s="17"/>
      <c r="G63" s="19" t="s">
        <v>101</v>
      </c>
      <c r="H63" s="18">
        <v>32.660000000000004</v>
      </c>
      <c r="I63" s="17" t="s">
        <v>49</v>
      </c>
      <c r="J63" s="17" t="s">
        <v>48</v>
      </c>
      <c r="K63" s="17"/>
      <c r="L63" s="17"/>
      <c r="M63" s="16" t="str">
        <f>HYPERLINK("http://slimages.macys.com/is/image/MCY/19411668 ")</f>
        <v xml:space="preserve">http://slimages.macys.com/is/image/MCY/19411668 </v>
      </c>
      <c r="N63" s="30"/>
    </row>
    <row r="64" spans="1:14" ht="60" x14ac:dyDescent="0.25">
      <c r="A64" s="19" t="s">
        <v>1473</v>
      </c>
      <c r="B64" s="17" t="s">
        <v>1472</v>
      </c>
      <c r="C64" s="20">
        <v>1</v>
      </c>
      <c r="D64" s="18">
        <v>138</v>
      </c>
      <c r="E64" s="20" t="s">
        <v>1469</v>
      </c>
      <c r="F64" s="17" t="s">
        <v>51</v>
      </c>
      <c r="G64" s="19" t="s">
        <v>69</v>
      </c>
      <c r="H64" s="18">
        <v>32.200000000000003</v>
      </c>
      <c r="I64" s="17" t="s">
        <v>133</v>
      </c>
      <c r="J64" s="17" t="s">
        <v>132</v>
      </c>
      <c r="K64" s="17"/>
      <c r="L64" s="17"/>
      <c r="M64" s="16" t="str">
        <f>HYPERLINK("http://slimages.macys.com/is/image/MCY/19697533 ")</f>
        <v xml:space="preserve">http://slimages.macys.com/is/image/MCY/19697533 </v>
      </c>
      <c r="N64" s="30"/>
    </row>
    <row r="65" spans="1:14" ht="60" x14ac:dyDescent="0.25">
      <c r="A65" s="19" t="s">
        <v>1471</v>
      </c>
      <c r="B65" s="17" t="s">
        <v>1470</v>
      </c>
      <c r="C65" s="20">
        <v>1</v>
      </c>
      <c r="D65" s="18">
        <v>138</v>
      </c>
      <c r="E65" s="20" t="s">
        <v>1469</v>
      </c>
      <c r="F65" s="17" t="s">
        <v>75</v>
      </c>
      <c r="G65" s="19" t="s">
        <v>69</v>
      </c>
      <c r="H65" s="18">
        <v>32.200000000000003</v>
      </c>
      <c r="I65" s="17" t="s">
        <v>133</v>
      </c>
      <c r="J65" s="17" t="s">
        <v>132</v>
      </c>
      <c r="K65" s="17"/>
      <c r="L65" s="17"/>
      <c r="M65" s="16" t="str">
        <f>HYPERLINK("http://slimages.macys.com/is/image/MCY/19697533 ")</f>
        <v xml:space="preserve">http://slimages.macys.com/is/image/MCY/19697533 </v>
      </c>
      <c r="N65" s="30"/>
    </row>
    <row r="66" spans="1:14" ht="60" x14ac:dyDescent="0.25">
      <c r="A66" s="19" t="s">
        <v>1468</v>
      </c>
      <c r="B66" s="17" t="s">
        <v>1467</v>
      </c>
      <c r="C66" s="20">
        <v>1</v>
      </c>
      <c r="D66" s="18">
        <v>99.99</v>
      </c>
      <c r="E66" s="20">
        <v>50039197</v>
      </c>
      <c r="F66" s="17" t="s">
        <v>51</v>
      </c>
      <c r="G66" s="19" t="s">
        <v>916</v>
      </c>
      <c r="H66" s="18">
        <v>32</v>
      </c>
      <c r="I66" s="17" t="s">
        <v>879</v>
      </c>
      <c r="J66" s="17" t="s">
        <v>850</v>
      </c>
      <c r="K66" s="17"/>
      <c r="L66" s="17"/>
      <c r="M66" s="16" t="str">
        <f>HYPERLINK("http://slimages.macys.com/is/image/MCY/16862273 ")</f>
        <v xml:space="preserve">http://slimages.macys.com/is/image/MCY/16862273 </v>
      </c>
      <c r="N66" s="30"/>
    </row>
    <row r="67" spans="1:14" ht="60" x14ac:dyDescent="0.25">
      <c r="A67" s="19" t="s">
        <v>1466</v>
      </c>
      <c r="B67" s="17" t="s">
        <v>1465</v>
      </c>
      <c r="C67" s="20">
        <v>1</v>
      </c>
      <c r="D67" s="18">
        <v>159</v>
      </c>
      <c r="E67" s="20" t="s">
        <v>1464</v>
      </c>
      <c r="F67" s="17" t="s">
        <v>58</v>
      </c>
      <c r="G67" s="19" t="s">
        <v>96</v>
      </c>
      <c r="H67" s="18">
        <v>31.799999999999997</v>
      </c>
      <c r="I67" s="17" t="s">
        <v>144</v>
      </c>
      <c r="J67" s="17" t="s">
        <v>496</v>
      </c>
      <c r="K67" s="17"/>
      <c r="L67" s="17"/>
      <c r="M67" s="16" t="str">
        <f>HYPERLINK("http://slimages.macys.com/is/image/MCY/19037970 ")</f>
        <v xml:space="preserve">http://slimages.macys.com/is/image/MCY/19037970 </v>
      </c>
      <c r="N67" s="30"/>
    </row>
    <row r="68" spans="1:14" ht="60" x14ac:dyDescent="0.25">
      <c r="A68" s="19" t="s">
        <v>1463</v>
      </c>
      <c r="B68" s="17" t="s">
        <v>1462</v>
      </c>
      <c r="C68" s="20">
        <v>1</v>
      </c>
      <c r="D68" s="18">
        <v>149</v>
      </c>
      <c r="E68" s="20" t="s">
        <v>1461</v>
      </c>
      <c r="F68" s="17" t="s">
        <v>23</v>
      </c>
      <c r="G68" s="19" t="s">
        <v>773</v>
      </c>
      <c r="H68" s="18">
        <v>30.666666666666664</v>
      </c>
      <c r="I68" s="17" t="s">
        <v>550</v>
      </c>
      <c r="J68" s="17" t="s">
        <v>1310</v>
      </c>
      <c r="K68" s="17"/>
      <c r="L68" s="17"/>
      <c r="M68" s="16" t="str">
        <f>HYPERLINK("http://slimages.macys.com/is/image/MCY/18210303 ")</f>
        <v xml:space="preserve">http://slimages.macys.com/is/image/MCY/18210303 </v>
      </c>
      <c r="N68" s="30"/>
    </row>
    <row r="69" spans="1:14" ht="60" x14ac:dyDescent="0.25">
      <c r="A69" s="19" t="s">
        <v>1460</v>
      </c>
      <c r="B69" s="17" t="s">
        <v>1459</v>
      </c>
      <c r="C69" s="20">
        <v>1</v>
      </c>
      <c r="D69" s="18">
        <v>109.99</v>
      </c>
      <c r="E69" s="20">
        <v>50039659</v>
      </c>
      <c r="F69" s="17" t="s">
        <v>28</v>
      </c>
      <c r="G69" s="19" t="s">
        <v>116</v>
      </c>
      <c r="H69" s="18">
        <v>30.666666666666664</v>
      </c>
      <c r="I69" s="17" t="s">
        <v>854</v>
      </c>
      <c r="J69" s="17" t="s">
        <v>850</v>
      </c>
      <c r="K69" s="17"/>
      <c r="L69" s="17"/>
      <c r="M69" s="16" t="str">
        <f>HYPERLINK("http://slimages.macys.com/is/image/MCY/18703354 ")</f>
        <v xml:space="preserve">http://slimages.macys.com/is/image/MCY/18703354 </v>
      </c>
      <c r="N69" s="30"/>
    </row>
    <row r="70" spans="1:14" ht="60" x14ac:dyDescent="0.25">
      <c r="A70" s="19" t="s">
        <v>1458</v>
      </c>
      <c r="B70" s="17" t="s">
        <v>1457</v>
      </c>
      <c r="C70" s="20">
        <v>8</v>
      </c>
      <c r="D70" s="18">
        <v>128</v>
      </c>
      <c r="E70" s="20" t="s">
        <v>1452</v>
      </c>
      <c r="F70" s="17" t="s">
        <v>58</v>
      </c>
      <c r="G70" s="19" t="s">
        <v>69</v>
      </c>
      <c r="H70" s="18">
        <v>29.333333333333336</v>
      </c>
      <c r="I70" s="17" t="s">
        <v>133</v>
      </c>
      <c r="J70" s="17" t="s">
        <v>833</v>
      </c>
      <c r="K70" s="17"/>
      <c r="L70" s="17"/>
      <c r="M70" s="16" t="str">
        <f>HYPERLINK("http://slimages.macys.com/is/image/MCY/19305261 ")</f>
        <v xml:space="preserve">http://slimages.macys.com/is/image/MCY/19305261 </v>
      </c>
      <c r="N70" s="30"/>
    </row>
    <row r="71" spans="1:14" ht="60" x14ac:dyDescent="0.25">
      <c r="A71" s="19" t="s">
        <v>1456</v>
      </c>
      <c r="B71" s="17" t="s">
        <v>1455</v>
      </c>
      <c r="C71" s="20">
        <v>3</v>
      </c>
      <c r="D71" s="18">
        <v>128</v>
      </c>
      <c r="E71" s="20" t="s">
        <v>1452</v>
      </c>
      <c r="F71" s="17" t="s">
        <v>58</v>
      </c>
      <c r="G71" s="19" t="s">
        <v>74</v>
      </c>
      <c r="H71" s="18">
        <v>29.333333333333336</v>
      </c>
      <c r="I71" s="17" t="s">
        <v>133</v>
      </c>
      <c r="J71" s="17" t="s">
        <v>833</v>
      </c>
      <c r="K71" s="17"/>
      <c r="L71" s="17"/>
      <c r="M71" s="16" t="str">
        <f>HYPERLINK("http://slimages.macys.com/is/image/MCY/19305261 ")</f>
        <v xml:space="preserve">http://slimages.macys.com/is/image/MCY/19305261 </v>
      </c>
      <c r="N71" s="30"/>
    </row>
    <row r="72" spans="1:14" ht="60" x14ac:dyDescent="0.25">
      <c r="A72" s="19" t="s">
        <v>1454</v>
      </c>
      <c r="B72" s="17" t="s">
        <v>1453</v>
      </c>
      <c r="C72" s="20">
        <v>9</v>
      </c>
      <c r="D72" s="18">
        <v>128</v>
      </c>
      <c r="E72" s="20" t="s">
        <v>1452</v>
      </c>
      <c r="F72" s="17" t="s">
        <v>58</v>
      </c>
      <c r="G72" s="19" t="s">
        <v>62</v>
      </c>
      <c r="H72" s="18">
        <v>29.333333333333336</v>
      </c>
      <c r="I72" s="17" t="s">
        <v>133</v>
      </c>
      <c r="J72" s="17" t="s">
        <v>833</v>
      </c>
      <c r="K72" s="17"/>
      <c r="L72" s="17"/>
      <c r="M72" s="16" t="str">
        <f>HYPERLINK("http://slimages.macys.com/is/image/MCY/19305261 ")</f>
        <v xml:space="preserve">http://slimages.macys.com/is/image/MCY/19305261 </v>
      </c>
      <c r="N72" s="30"/>
    </row>
    <row r="73" spans="1:14" ht="60" x14ac:dyDescent="0.25">
      <c r="A73" s="19" t="s">
        <v>1451</v>
      </c>
      <c r="B73" s="17" t="s">
        <v>1450</v>
      </c>
      <c r="C73" s="20">
        <v>1</v>
      </c>
      <c r="D73" s="18">
        <v>149</v>
      </c>
      <c r="E73" s="20" t="s">
        <v>1449</v>
      </c>
      <c r="F73" s="17" t="s">
        <v>44</v>
      </c>
      <c r="G73" s="19" t="s">
        <v>916</v>
      </c>
      <c r="H73" s="18">
        <v>28.666666666666668</v>
      </c>
      <c r="I73" s="17" t="s">
        <v>550</v>
      </c>
      <c r="J73" s="17" t="s">
        <v>1448</v>
      </c>
      <c r="K73" s="17"/>
      <c r="L73" s="17"/>
      <c r="M73" s="16" t="str">
        <f>HYPERLINK("http://slimages.macys.com/is/image/MCY/18194643 ")</f>
        <v xml:space="preserve">http://slimages.macys.com/is/image/MCY/18194643 </v>
      </c>
      <c r="N73" s="30"/>
    </row>
    <row r="74" spans="1:14" ht="60" x14ac:dyDescent="0.25">
      <c r="A74" s="19" t="s">
        <v>1447</v>
      </c>
      <c r="B74" s="17" t="s">
        <v>1446</v>
      </c>
      <c r="C74" s="20">
        <v>1</v>
      </c>
      <c r="D74" s="18">
        <v>109.99</v>
      </c>
      <c r="E74" s="20">
        <v>50039769</v>
      </c>
      <c r="F74" s="17" t="s">
        <v>63</v>
      </c>
      <c r="G74" s="19" t="s">
        <v>1445</v>
      </c>
      <c r="H74" s="18">
        <v>28.666666666666668</v>
      </c>
      <c r="I74" s="17" t="s">
        <v>879</v>
      </c>
      <c r="J74" s="17" t="s">
        <v>850</v>
      </c>
      <c r="K74" s="17"/>
      <c r="L74" s="17"/>
      <c r="M74" s="16" t="str">
        <f>HYPERLINK("http://slimages.macys.com/is/image/MCY/18075092 ")</f>
        <v xml:space="preserve">http://slimages.macys.com/is/image/MCY/18075092 </v>
      </c>
      <c r="N74" s="30"/>
    </row>
    <row r="75" spans="1:14" ht="108" x14ac:dyDescent="0.25">
      <c r="A75" s="19" t="s">
        <v>1444</v>
      </c>
      <c r="B75" s="17" t="s">
        <v>1443</v>
      </c>
      <c r="C75" s="20">
        <v>1</v>
      </c>
      <c r="D75" s="18">
        <v>119</v>
      </c>
      <c r="E75" s="20" t="s">
        <v>1442</v>
      </c>
      <c r="F75" s="17" t="s">
        <v>91</v>
      </c>
      <c r="G75" s="19" t="s">
        <v>749</v>
      </c>
      <c r="H75" s="18">
        <v>28.533333333333335</v>
      </c>
      <c r="I75" s="17" t="s">
        <v>678</v>
      </c>
      <c r="J75" s="17" t="s">
        <v>404</v>
      </c>
      <c r="K75" s="17" t="s">
        <v>389</v>
      </c>
      <c r="L75" s="17" t="s">
        <v>1441</v>
      </c>
      <c r="M75" s="16" t="str">
        <f>HYPERLINK("http://slimages.macys.com/is/image/MCY/9583053 ")</f>
        <v xml:space="preserve">http://slimages.macys.com/is/image/MCY/9583053 </v>
      </c>
      <c r="N75" s="30"/>
    </row>
    <row r="76" spans="1:14" ht="60" x14ac:dyDescent="0.25">
      <c r="A76" s="19" t="s">
        <v>1440</v>
      </c>
      <c r="B76" s="17" t="s">
        <v>1439</v>
      </c>
      <c r="C76" s="20">
        <v>1</v>
      </c>
      <c r="D76" s="18">
        <v>92</v>
      </c>
      <c r="E76" s="20" t="s">
        <v>1438</v>
      </c>
      <c r="F76" s="17" t="s">
        <v>91</v>
      </c>
      <c r="G76" s="19" t="s">
        <v>57</v>
      </c>
      <c r="H76" s="18">
        <v>28.000000000000004</v>
      </c>
      <c r="I76" s="17" t="s">
        <v>133</v>
      </c>
      <c r="J76" s="17" t="s">
        <v>1437</v>
      </c>
      <c r="K76" s="17"/>
      <c r="L76" s="17"/>
      <c r="M76" s="16" t="str">
        <f>HYPERLINK("http://slimages.macys.com/is/image/MCY/19563682 ")</f>
        <v xml:space="preserve">http://slimages.macys.com/is/image/MCY/19563682 </v>
      </c>
      <c r="N76" s="30"/>
    </row>
    <row r="77" spans="1:14" ht="60" x14ac:dyDescent="0.25">
      <c r="A77" s="19" t="s">
        <v>1436</v>
      </c>
      <c r="B77" s="17" t="s">
        <v>1435</v>
      </c>
      <c r="C77" s="20">
        <v>6</v>
      </c>
      <c r="D77" s="18">
        <v>120</v>
      </c>
      <c r="E77" s="20" t="s">
        <v>1432</v>
      </c>
      <c r="F77" s="17" t="s">
        <v>23</v>
      </c>
      <c r="G77" s="19" t="s">
        <v>62</v>
      </c>
      <c r="H77" s="18">
        <v>27.333333333333332</v>
      </c>
      <c r="I77" s="17" t="s">
        <v>133</v>
      </c>
      <c r="J77" s="17" t="s">
        <v>833</v>
      </c>
      <c r="K77" s="17"/>
      <c r="L77" s="17"/>
      <c r="M77" s="16" t="str">
        <f>HYPERLINK("http://slimages.macys.com/is/image/MCY/19305208 ")</f>
        <v xml:space="preserve">http://slimages.macys.com/is/image/MCY/19305208 </v>
      </c>
      <c r="N77" s="30"/>
    </row>
    <row r="78" spans="1:14" ht="60" x14ac:dyDescent="0.25">
      <c r="A78" s="19" t="s">
        <v>1434</v>
      </c>
      <c r="B78" s="17" t="s">
        <v>1433</v>
      </c>
      <c r="C78" s="20">
        <v>4</v>
      </c>
      <c r="D78" s="18">
        <v>120</v>
      </c>
      <c r="E78" s="20" t="s">
        <v>1432</v>
      </c>
      <c r="F78" s="17" t="s">
        <v>23</v>
      </c>
      <c r="G78" s="19" t="s">
        <v>69</v>
      </c>
      <c r="H78" s="18">
        <v>27.333333333333332</v>
      </c>
      <c r="I78" s="17" t="s">
        <v>133</v>
      </c>
      <c r="J78" s="17" t="s">
        <v>833</v>
      </c>
      <c r="K78" s="17"/>
      <c r="L78" s="17"/>
      <c r="M78" s="16" t="str">
        <f>HYPERLINK("http://slimages.macys.com/is/image/MCY/19305208 ")</f>
        <v xml:space="preserve">http://slimages.macys.com/is/image/MCY/19305208 </v>
      </c>
      <c r="N78" s="30"/>
    </row>
    <row r="79" spans="1:14" ht="132" x14ac:dyDescent="0.25">
      <c r="A79" s="19" t="s">
        <v>1431</v>
      </c>
      <c r="B79" s="17" t="s">
        <v>1430</v>
      </c>
      <c r="C79" s="20">
        <v>1</v>
      </c>
      <c r="D79" s="18">
        <v>128</v>
      </c>
      <c r="E79" s="20" t="s">
        <v>1429</v>
      </c>
      <c r="F79" s="17" t="s">
        <v>51</v>
      </c>
      <c r="G79" s="19" t="s">
        <v>698</v>
      </c>
      <c r="H79" s="18">
        <v>27.133333333333336</v>
      </c>
      <c r="I79" s="17" t="s">
        <v>115</v>
      </c>
      <c r="J79" s="17" t="s">
        <v>653</v>
      </c>
      <c r="K79" s="17" t="s">
        <v>637</v>
      </c>
      <c r="L79" s="17" t="s">
        <v>1428</v>
      </c>
      <c r="M79" s="16" t="str">
        <f>HYPERLINK("http://images.bloomingdales.com/is/image/BLM/11079783 ")</f>
        <v xml:space="preserve">http://images.bloomingdales.com/is/image/BLM/11079783 </v>
      </c>
      <c r="N79" s="30"/>
    </row>
    <row r="80" spans="1:14" ht="60" x14ac:dyDescent="0.25">
      <c r="A80" s="19" t="s">
        <v>1427</v>
      </c>
      <c r="B80" s="17" t="s">
        <v>1426</v>
      </c>
      <c r="C80" s="20">
        <v>1</v>
      </c>
      <c r="D80" s="18">
        <v>89.99</v>
      </c>
      <c r="E80" s="20">
        <v>50039755</v>
      </c>
      <c r="F80" s="17" t="s">
        <v>63</v>
      </c>
      <c r="G80" s="19" t="s">
        <v>96</v>
      </c>
      <c r="H80" s="18">
        <v>26.666666666666668</v>
      </c>
      <c r="I80" s="17" t="s">
        <v>854</v>
      </c>
      <c r="J80" s="17" t="s">
        <v>850</v>
      </c>
      <c r="K80" s="17"/>
      <c r="L80" s="17"/>
      <c r="M80" s="16" t="str">
        <f>HYPERLINK("http://slimages.macys.com/is/image/MCY/18075530 ")</f>
        <v xml:space="preserve">http://slimages.macys.com/is/image/MCY/18075530 </v>
      </c>
      <c r="N80" s="30"/>
    </row>
    <row r="81" spans="1:14" ht="60" x14ac:dyDescent="0.25">
      <c r="A81" s="19" t="s">
        <v>1425</v>
      </c>
      <c r="B81" s="17" t="s">
        <v>1424</v>
      </c>
      <c r="C81" s="20">
        <v>4</v>
      </c>
      <c r="D81" s="18">
        <v>148</v>
      </c>
      <c r="E81" s="20" t="s">
        <v>1423</v>
      </c>
      <c r="F81" s="17" t="s">
        <v>23</v>
      </c>
      <c r="G81" s="19" t="s">
        <v>682</v>
      </c>
      <c r="H81" s="18">
        <v>26.64</v>
      </c>
      <c r="I81" s="17" t="s">
        <v>115</v>
      </c>
      <c r="J81" s="17" t="s">
        <v>742</v>
      </c>
      <c r="K81" s="17"/>
      <c r="L81" s="17"/>
      <c r="M81" s="16" t="str">
        <f>HYPERLINK("http://slimages.macys.com/is/image/MCY/19102968 ")</f>
        <v xml:space="preserve">http://slimages.macys.com/is/image/MCY/19102968 </v>
      </c>
      <c r="N81" s="30"/>
    </row>
    <row r="82" spans="1:14" ht="60" x14ac:dyDescent="0.25">
      <c r="A82" s="19" t="s">
        <v>1422</v>
      </c>
      <c r="B82" s="17" t="s">
        <v>1421</v>
      </c>
      <c r="C82" s="20">
        <v>1</v>
      </c>
      <c r="D82" s="18">
        <v>109.99</v>
      </c>
      <c r="E82" s="20">
        <v>50039453</v>
      </c>
      <c r="F82" s="17" t="s">
        <v>881</v>
      </c>
      <c r="G82" s="19" t="s">
        <v>1292</v>
      </c>
      <c r="H82" s="18">
        <v>26</v>
      </c>
      <c r="I82" s="17" t="s">
        <v>879</v>
      </c>
      <c r="J82" s="17" t="s">
        <v>850</v>
      </c>
      <c r="K82" s="17"/>
      <c r="L82" s="17"/>
      <c r="M82" s="16" t="str">
        <f>HYPERLINK("http://slimages.macys.com/is/image/MCY/17970045 ")</f>
        <v xml:space="preserve">http://slimages.macys.com/is/image/MCY/17970045 </v>
      </c>
      <c r="N82" s="30"/>
    </row>
    <row r="83" spans="1:14" ht="60" x14ac:dyDescent="0.25">
      <c r="A83" s="19" t="s">
        <v>1420</v>
      </c>
      <c r="B83" s="17" t="s">
        <v>1419</v>
      </c>
      <c r="C83" s="20">
        <v>4</v>
      </c>
      <c r="D83" s="18">
        <v>139</v>
      </c>
      <c r="E83" s="20" t="s">
        <v>1418</v>
      </c>
      <c r="F83" s="17" t="s">
        <v>575</v>
      </c>
      <c r="G83" s="19" t="s">
        <v>116</v>
      </c>
      <c r="H83" s="18">
        <v>25.986666666666668</v>
      </c>
      <c r="I83" s="17" t="s">
        <v>820</v>
      </c>
      <c r="J83" s="17" t="s">
        <v>67</v>
      </c>
      <c r="K83" s="17"/>
      <c r="L83" s="17"/>
      <c r="M83" s="16" t="str">
        <f>HYPERLINK("http://slimages.macys.com/is/image/MCY/18851459 ")</f>
        <v xml:space="preserve">http://slimages.macys.com/is/image/MCY/18851459 </v>
      </c>
      <c r="N83" s="30"/>
    </row>
    <row r="84" spans="1:14" ht="60" x14ac:dyDescent="0.25">
      <c r="A84" s="19" t="s">
        <v>1417</v>
      </c>
      <c r="B84" s="17" t="s">
        <v>1416</v>
      </c>
      <c r="C84" s="20">
        <v>1</v>
      </c>
      <c r="D84" s="18">
        <v>139</v>
      </c>
      <c r="E84" s="20" t="s">
        <v>1415</v>
      </c>
      <c r="F84" s="17" t="s">
        <v>23</v>
      </c>
      <c r="G84" s="19" t="s">
        <v>116</v>
      </c>
      <c r="H84" s="18">
        <v>25.986666666666668</v>
      </c>
      <c r="I84" s="17" t="s">
        <v>820</v>
      </c>
      <c r="J84" s="17" t="s">
        <v>67</v>
      </c>
      <c r="K84" s="17"/>
      <c r="L84" s="17"/>
      <c r="M84" s="16" t="str">
        <f>HYPERLINK("http://slimages.macys.com/is/image/MCY/18851486 ")</f>
        <v xml:space="preserve">http://slimages.macys.com/is/image/MCY/18851486 </v>
      </c>
      <c r="N84" s="30"/>
    </row>
    <row r="85" spans="1:14" ht="60" x14ac:dyDescent="0.25">
      <c r="A85" s="19" t="s">
        <v>1414</v>
      </c>
      <c r="B85" s="17" t="s">
        <v>1413</v>
      </c>
      <c r="C85" s="20">
        <v>2</v>
      </c>
      <c r="D85" s="18">
        <v>89.25</v>
      </c>
      <c r="E85" s="20">
        <v>10758369</v>
      </c>
      <c r="F85" s="17" t="s">
        <v>23</v>
      </c>
      <c r="G85" s="19" t="s">
        <v>1155</v>
      </c>
      <c r="H85" s="18">
        <v>24.993333333333336</v>
      </c>
      <c r="I85" s="17" t="s">
        <v>33</v>
      </c>
      <c r="J85" s="17" t="s">
        <v>143</v>
      </c>
      <c r="K85" s="17"/>
      <c r="L85" s="17"/>
      <c r="M85" s="16" t="str">
        <f>HYPERLINK("http://slimages.macys.com/is/image/MCY/18301568 ")</f>
        <v xml:space="preserve">http://slimages.macys.com/is/image/MCY/18301568 </v>
      </c>
      <c r="N85" s="30"/>
    </row>
    <row r="86" spans="1:14" ht="60" x14ac:dyDescent="0.25">
      <c r="A86" s="19" t="s">
        <v>1412</v>
      </c>
      <c r="B86" s="17" t="s">
        <v>1411</v>
      </c>
      <c r="C86" s="20">
        <v>1</v>
      </c>
      <c r="D86" s="18">
        <v>119</v>
      </c>
      <c r="E86" s="20">
        <v>10769524</v>
      </c>
      <c r="F86" s="17" t="s">
        <v>28</v>
      </c>
      <c r="G86" s="19" t="s">
        <v>62</v>
      </c>
      <c r="H86" s="18">
        <v>24.593333333333334</v>
      </c>
      <c r="I86" s="17" t="s">
        <v>144</v>
      </c>
      <c r="J86" s="17" t="s">
        <v>143</v>
      </c>
      <c r="K86" s="17"/>
      <c r="L86" s="17"/>
      <c r="M86" s="16" t="str">
        <f>HYPERLINK("http://slimages.macys.com/is/image/MCY/19095556 ")</f>
        <v xml:space="preserve">http://slimages.macys.com/is/image/MCY/19095556 </v>
      </c>
      <c r="N86" s="30"/>
    </row>
    <row r="87" spans="1:14" ht="60" x14ac:dyDescent="0.25">
      <c r="A87" s="19" t="s">
        <v>1410</v>
      </c>
      <c r="B87" s="17" t="s">
        <v>1409</v>
      </c>
      <c r="C87" s="20">
        <v>1</v>
      </c>
      <c r="D87" s="18">
        <v>119</v>
      </c>
      <c r="E87" s="20">
        <v>10758684</v>
      </c>
      <c r="F87" s="17" t="s">
        <v>1408</v>
      </c>
      <c r="G87" s="19" t="s">
        <v>116</v>
      </c>
      <c r="H87" s="18">
        <v>24.593333333333334</v>
      </c>
      <c r="I87" s="17" t="s">
        <v>144</v>
      </c>
      <c r="J87" s="17" t="s">
        <v>143</v>
      </c>
      <c r="K87" s="17"/>
      <c r="L87" s="17"/>
      <c r="M87" s="16" t="str">
        <f>HYPERLINK("http://slimages.macys.com/is/image/MCY/16686480 ")</f>
        <v xml:space="preserve">http://slimages.macys.com/is/image/MCY/16686480 </v>
      </c>
      <c r="N87" s="30"/>
    </row>
    <row r="88" spans="1:14" ht="60" x14ac:dyDescent="0.25">
      <c r="A88" s="19" t="s">
        <v>1407</v>
      </c>
      <c r="B88" s="17" t="s">
        <v>1406</v>
      </c>
      <c r="C88" s="20">
        <v>1</v>
      </c>
      <c r="D88" s="18">
        <v>119</v>
      </c>
      <c r="E88" s="20">
        <v>10773860</v>
      </c>
      <c r="F88" s="17" t="s">
        <v>51</v>
      </c>
      <c r="G88" s="19" t="s">
        <v>69</v>
      </c>
      <c r="H88" s="18">
        <v>24.593333333333334</v>
      </c>
      <c r="I88" s="17" t="s">
        <v>144</v>
      </c>
      <c r="J88" s="17" t="s">
        <v>143</v>
      </c>
      <c r="K88" s="17"/>
      <c r="L88" s="17"/>
      <c r="M88" s="16" t="str">
        <f>HYPERLINK("http://slimages.macys.com/is/image/MCY/18601192 ")</f>
        <v xml:space="preserve">http://slimages.macys.com/is/image/MCY/18601192 </v>
      </c>
      <c r="N88" s="30"/>
    </row>
    <row r="89" spans="1:14" ht="96" x14ac:dyDescent="0.25">
      <c r="A89" s="19" t="s">
        <v>1405</v>
      </c>
      <c r="B89" s="17" t="s">
        <v>1404</v>
      </c>
      <c r="C89" s="20">
        <v>1</v>
      </c>
      <c r="D89" s="18">
        <v>139</v>
      </c>
      <c r="E89" s="20" t="s">
        <v>1403</v>
      </c>
      <c r="F89" s="17" t="s">
        <v>51</v>
      </c>
      <c r="G89" s="19" t="s">
        <v>1402</v>
      </c>
      <c r="H89" s="18">
        <v>24</v>
      </c>
      <c r="I89" s="17" t="s">
        <v>550</v>
      </c>
      <c r="J89" s="17" t="s">
        <v>1090</v>
      </c>
      <c r="K89" s="17" t="s">
        <v>389</v>
      </c>
      <c r="L89" s="17" t="s">
        <v>1401</v>
      </c>
      <c r="M89" s="16" t="str">
        <f>HYPERLINK("http://slimages.macys.com/is/image/MCY/9243503 ")</f>
        <v xml:space="preserve">http://slimages.macys.com/is/image/MCY/9243503 </v>
      </c>
      <c r="N89" s="30"/>
    </row>
    <row r="90" spans="1:14" ht="60" x14ac:dyDescent="0.25">
      <c r="A90" s="19" t="s">
        <v>1400</v>
      </c>
      <c r="B90" s="17" t="s">
        <v>1399</v>
      </c>
      <c r="C90" s="20">
        <v>1</v>
      </c>
      <c r="D90" s="18">
        <v>139</v>
      </c>
      <c r="E90" s="20" t="s">
        <v>1398</v>
      </c>
      <c r="F90" s="17" t="s">
        <v>51</v>
      </c>
      <c r="G90" s="19" t="s">
        <v>1397</v>
      </c>
      <c r="H90" s="18">
        <v>24</v>
      </c>
      <c r="I90" s="17" t="s">
        <v>550</v>
      </c>
      <c r="J90" s="17" t="s">
        <v>1090</v>
      </c>
      <c r="K90" s="17" t="s">
        <v>389</v>
      </c>
      <c r="L90" s="17" t="s">
        <v>1396</v>
      </c>
      <c r="M90" s="16" t="str">
        <f>HYPERLINK("http://slimages.macys.com/is/image/MCY/11385611 ")</f>
        <v xml:space="preserve">http://slimages.macys.com/is/image/MCY/11385611 </v>
      </c>
      <c r="N90" s="30"/>
    </row>
    <row r="91" spans="1:14" ht="60" x14ac:dyDescent="0.25">
      <c r="A91" s="19" t="s">
        <v>1395</v>
      </c>
      <c r="B91" s="17" t="s">
        <v>1394</v>
      </c>
      <c r="C91" s="20">
        <v>1</v>
      </c>
      <c r="D91" s="18">
        <v>129</v>
      </c>
      <c r="E91" s="20" t="s">
        <v>1393</v>
      </c>
      <c r="F91" s="17" t="s">
        <v>216</v>
      </c>
      <c r="G91" s="19" t="s">
        <v>74</v>
      </c>
      <c r="H91" s="18">
        <v>23.82</v>
      </c>
      <c r="I91" s="17" t="s">
        <v>405</v>
      </c>
      <c r="J91" s="17" t="s">
        <v>404</v>
      </c>
      <c r="K91" s="17"/>
      <c r="L91" s="17"/>
      <c r="M91" s="16" t="str">
        <f>HYPERLINK("http://slimages.macys.com/is/image/MCY/18526451 ")</f>
        <v xml:space="preserve">http://slimages.macys.com/is/image/MCY/18526451 </v>
      </c>
      <c r="N91" s="30"/>
    </row>
    <row r="92" spans="1:14" ht="72" x14ac:dyDescent="0.25">
      <c r="A92" s="19" t="s">
        <v>1392</v>
      </c>
      <c r="B92" s="17" t="s">
        <v>1391</v>
      </c>
      <c r="C92" s="20">
        <v>1</v>
      </c>
      <c r="D92" s="18">
        <v>79.989999999999995</v>
      </c>
      <c r="E92" s="20">
        <v>50038707</v>
      </c>
      <c r="F92" s="17" t="s">
        <v>555</v>
      </c>
      <c r="G92" s="19" t="s">
        <v>96</v>
      </c>
      <c r="H92" s="18">
        <v>23.333333333333336</v>
      </c>
      <c r="I92" s="17" t="s">
        <v>854</v>
      </c>
      <c r="J92" s="17" t="s">
        <v>850</v>
      </c>
      <c r="K92" s="17" t="s">
        <v>389</v>
      </c>
      <c r="L92" s="17" t="s">
        <v>1390</v>
      </c>
      <c r="M92" s="16" t="str">
        <f>HYPERLINK("http://slimages.macys.com/is/image/MCY/14725615 ")</f>
        <v xml:space="preserve">http://slimages.macys.com/is/image/MCY/14725615 </v>
      </c>
      <c r="N92" s="30"/>
    </row>
    <row r="93" spans="1:14" ht="60" x14ac:dyDescent="0.25">
      <c r="A93" s="19" t="s">
        <v>1389</v>
      </c>
      <c r="B93" s="17" t="s">
        <v>1388</v>
      </c>
      <c r="C93" s="20">
        <v>1</v>
      </c>
      <c r="D93" s="18">
        <v>89.99</v>
      </c>
      <c r="E93" s="20">
        <v>50039459</v>
      </c>
      <c r="F93" s="17" t="s">
        <v>544</v>
      </c>
      <c r="G93" s="19" t="s">
        <v>749</v>
      </c>
      <c r="H93" s="18">
        <v>23.333333333333336</v>
      </c>
      <c r="I93" s="17" t="s">
        <v>854</v>
      </c>
      <c r="J93" s="17" t="s">
        <v>850</v>
      </c>
      <c r="K93" s="17"/>
      <c r="L93" s="17"/>
      <c r="M93" s="16" t="str">
        <f>HYPERLINK("http://slimages.macys.com/is/image/MCY/17970732 ")</f>
        <v xml:space="preserve">http://slimages.macys.com/is/image/MCY/17970732 </v>
      </c>
      <c r="N93" s="30"/>
    </row>
    <row r="94" spans="1:14" ht="60" x14ac:dyDescent="0.25">
      <c r="A94" s="19" t="s">
        <v>1387</v>
      </c>
      <c r="B94" s="17" t="s">
        <v>1386</v>
      </c>
      <c r="C94" s="20">
        <v>2</v>
      </c>
      <c r="D94" s="18">
        <v>89.99</v>
      </c>
      <c r="E94" s="20">
        <v>50039647</v>
      </c>
      <c r="F94" s="17" t="s">
        <v>726</v>
      </c>
      <c r="G94" s="19" t="s">
        <v>898</v>
      </c>
      <c r="H94" s="18">
        <v>23.333333333333336</v>
      </c>
      <c r="I94" s="17" t="s">
        <v>854</v>
      </c>
      <c r="J94" s="17" t="s">
        <v>850</v>
      </c>
      <c r="K94" s="17"/>
      <c r="L94" s="17"/>
      <c r="M94" s="16" t="str">
        <f>HYPERLINK("http://slimages.macys.com/is/image/MCY/18075240 ")</f>
        <v xml:space="preserve">http://slimages.macys.com/is/image/MCY/18075240 </v>
      </c>
      <c r="N94" s="30"/>
    </row>
    <row r="95" spans="1:14" ht="60" x14ac:dyDescent="0.25">
      <c r="A95" s="19" t="s">
        <v>1385</v>
      </c>
      <c r="B95" s="17" t="s">
        <v>1384</v>
      </c>
      <c r="C95" s="20">
        <v>1</v>
      </c>
      <c r="D95" s="18">
        <v>139</v>
      </c>
      <c r="E95" s="20" t="s">
        <v>1383</v>
      </c>
      <c r="F95" s="17" t="s">
        <v>1382</v>
      </c>
      <c r="G95" s="19" t="s">
        <v>749</v>
      </c>
      <c r="H95" s="18">
        <v>23.166666666666668</v>
      </c>
      <c r="I95" s="17" t="s">
        <v>820</v>
      </c>
      <c r="J95" s="17" t="s">
        <v>67</v>
      </c>
      <c r="K95" s="17"/>
      <c r="L95" s="17"/>
      <c r="M95" s="16" t="str">
        <f>HYPERLINK("http://slimages.macys.com/is/image/MCY/18630960 ")</f>
        <v xml:space="preserve">http://slimages.macys.com/is/image/MCY/18630960 </v>
      </c>
      <c r="N95" s="30"/>
    </row>
    <row r="96" spans="1:14" ht="60" x14ac:dyDescent="0.25">
      <c r="A96" s="19" t="s">
        <v>1381</v>
      </c>
      <c r="B96" s="17" t="s">
        <v>1380</v>
      </c>
      <c r="C96" s="20">
        <v>3</v>
      </c>
      <c r="D96" s="18">
        <v>98</v>
      </c>
      <c r="E96" s="20" t="s">
        <v>1379</v>
      </c>
      <c r="F96" s="17" t="s">
        <v>508</v>
      </c>
      <c r="G96" s="19" t="s">
        <v>74</v>
      </c>
      <c r="H96" s="18">
        <v>22.866666666666667</v>
      </c>
      <c r="I96" s="17" t="s">
        <v>133</v>
      </c>
      <c r="J96" s="17" t="s">
        <v>132</v>
      </c>
      <c r="K96" s="17"/>
      <c r="L96" s="17"/>
      <c r="M96" s="16" t="str">
        <f>HYPERLINK("http://slimages.macys.com/is/image/MCY/19700373 ")</f>
        <v xml:space="preserve">http://slimages.macys.com/is/image/MCY/19700373 </v>
      </c>
      <c r="N96" s="30"/>
    </row>
    <row r="97" spans="1:14" ht="60" x14ac:dyDescent="0.25">
      <c r="A97" s="19" t="s">
        <v>1378</v>
      </c>
      <c r="B97" s="17" t="s">
        <v>1377</v>
      </c>
      <c r="C97" s="20">
        <v>5</v>
      </c>
      <c r="D97" s="18">
        <v>98</v>
      </c>
      <c r="E97" s="20" t="s">
        <v>1374</v>
      </c>
      <c r="F97" s="17" t="s">
        <v>23</v>
      </c>
      <c r="G97" s="19" t="s">
        <v>69</v>
      </c>
      <c r="H97" s="18">
        <v>22.666666666666668</v>
      </c>
      <c r="I97" s="17" t="s">
        <v>133</v>
      </c>
      <c r="J97" s="17" t="s">
        <v>833</v>
      </c>
      <c r="K97" s="17"/>
      <c r="L97" s="17"/>
      <c r="M97" s="16" t="str">
        <f>HYPERLINK("http://slimages.macys.com/is/image/MCY/19305311 ")</f>
        <v xml:space="preserve">http://slimages.macys.com/is/image/MCY/19305311 </v>
      </c>
      <c r="N97" s="30"/>
    </row>
    <row r="98" spans="1:14" ht="60" x14ac:dyDescent="0.25">
      <c r="A98" s="19" t="s">
        <v>1376</v>
      </c>
      <c r="B98" s="17" t="s">
        <v>1375</v>
      </c>
      <c r="C98" s="20">
        <v>1</v>
      </c>
      <c r="D98" s="18">
        <v>98</v>
      </c>
      <c r="E98" s="20" t="s">
        <v>1374</v>
      </c>
      <c r="F98" s="17" t="s">
        <v>23</v>
      </c>
      <c r="G98" s="19" t="s">
        <v>62</v>
      </c>
      <c r="H98" s="18">
        <v>22.666666666666668</v>
      </c>
      <c r="I98" s="17" t="s">
        <v>133</v>
      </c>
      <c r="J98" s="17" t="s">
        <v>833</v>
      </c>
      <c r="K98" s="17"/>
      <c r="L98" s="17"/>
      <c r="M98" s="16" t="str">
        <f>HYPERLINK("http://slimages.macys.com/is/image/MCY/19305311 ")</f>
        <v xml:space="preserve">http://slimages.macys.com/is/image/MCY/19305311 </v>
      </c>
      <c r="N98" s="30"/>
    </row>
    <row r="99" spans="1:14" ht="60" x14ac:dyDescent="0.25">
      <c r="A99" s="19" t="s">
        <v>1373</v>
      </c>
      <c r="B99" s="17" t="s">
        <v>1372</v>
      </c>
      <c r="C99" s="20">
        <v>1</v>
      </c>
      <c r="D99" s="18">
        <v>109</v>
      </c>
      <c r="E99" s="20">
        <v>10777984</v>
      </c>
      <c r="F99" s="17" t="s">
        <v>23</v>
      </c>
      <c r="G99" s="19" t="s">
        <v>197</v>
      </c>
      <c r="H99" s="18">
        <v>22.526666666666667</v>
      </c>
      <c r="I99" s="17" t="s">
        <v>120</v>
      </c>
      <c r="J99" s="17" t="s">
        <v>119</v>
      </c>
      <c r="K99" s="17"/>
      <c r="L99" s="17"/>
      <c r="M99" s="16" t="str">
        <f>HYPERLINK("http://slimages.macys.com/is/image/MCY/17774000 ")</f>
        <v xml:space="preserve">http://slimages.macys.com/is/image/MCY/17774000 </v>
      </c>
      <c r="N99" s="30"/>
    </row>
    <row r="100" spans="1:14" ht="60" x14ac:dyDescent="0.25">
      <c r="A100" s="19" t="s">
        <v>1371</v>
      </c>
      <c r="B100" s="17" t="s">
        <v>1370</v>
      </c>
      <c r="C100" s="20">
        <v>1</v>
      </c>
      <c r="D100" s="18">
        <v>138</v>
      </c>
      <c r="E100" s="20" t="s">
        <v>1369</v>
      </c>
      <c r="F100" s="17" t="s">
        <v>23</v>
      </c>
      <c r="G100" s="19" t="s">
        <v>1368</v>
      </c>
      <c r="H100" s="18">
        <v>22</v>
      </c>
      <c r="I100" s="17" t="s">
        <v>115</v>
      </c>
      <c r="J100" s="17" t="s">
        <v>1367</v>
      </c>
      <c r="K100" s="17"/>
      <c r="L100" s="17"/>
      <c r="M100" s="16" t="str">
        <f>HYPERLINK("http://slimages.macys.com/is/image/MCY/19077317 ")</f>
        <v xml:space="preserve">http://slimages.macys.com/is/image/MCY/19077317 </v>
      </c>
      <c r="N100" s="30"/>
    </row>
    <row r="101" spans="1:14" ht="60" x14ac:dyDescent="0.25">
      <c r="A101" s="19" t="s">
        <v>1366</v>
      </c>
      <c r="B101" s="17" t="s">
        <v>1365</v>
      </c>
      <c r="C101" s="20">
        <v>1</v>
      </c>
      <c r="D101" s="18">
        <v>89</v>
      </c>
      <c r="E101" s="20" t="s">
        <v>1364</v>
      </c>
      <c r="F101" s="17" t="s">
        <v>345</v>
      </c>
      <c r="G101" s="19" t="s">
        <v>101</v>
      </c>
      <c r="H101" s="18">
        <v>21.593333333333334</v>
      </c>
      <c r="I101" s="17" t="s">
        <v>1363</v>
      </c>
      <c r="J101" s="17" t="s">
        <v>1362</v>
      </c>
      <c r="K101" s="17"/>
      <c r="L101" s="17"/>
      <c r="M101" s="16" t="str">
        <f>HYPERLINK("http://slimages.macys.com/is/image/MCY/19304870 ")</f>
        <v xml:space="preserve">http://slimages.macys.com/is/image/MCY/19304870 </v>
      </c>
      <c r="N101" s="30"/>
    </row>
    <row r="102" spans="1:14" ht="60" x14ac:dyDescent="0.25">
      <c r="A102" s="19" t="s">
        <v>1361</v>
      </c>
      <c r="B102" s="17" t="s">
        <v>1360</v>
      </c>
      <c r="C102" s="20">
        <v>1</v>
      </c>
      <c r="D102" s="18">
        <v>79.989999999999995</v>
      </c>
      <c r="E102" s="20">
        <v>50038824</v>
      </c>
      <c r="F102" s="17" t="s">
        <v>164</v>
      </c>
      <c r="G102" s="19" t="s">
        <v>738</v>
      </c>
      <c r="H102" s="18">
        <v>21.333333333333336</v>
      </c>
      <c r="I102" s="17" t="s">
        <v>851</v>
      </c>
      <c r="J102" s="17" t="s">
        <v>850</v>
      </c>
      <c r="K102" s="17" t="s">
        <v>389</v>
      </c>
      <c r="L102" s="17" t="s">
        <v>1359</v>
      </c>
      <c r="M102" s="16" t="str">
        <f>HYPERLINK("http://slimages.macys.com/is/image/MCY/15011135 ")</f>
        <v xml:space="preserve">http://slimages.macys.com/is/image/MCY/15011135 </v>
      </c>
      <c r="N102" s="30"/>
    </row>
    <row r="103" spans="1:14" ht="96" x14ac:dyDescent="0.25">
      <c r="A103" s="19" t="s">
        <v>1358</v>
      </c>
      <c r="B103" s="17" t="s">
        <v>1357</v>
      </c>
      <c r="C103" s="20">
        <v>1</v>
      </c>
      <c r="D103" s="18">
        <v>79.989999999999995</v>
      </c>
      <c r="E103" s="20">
        <v>50038967</v>
      </c>
      <c r="F103" s="17" t="s">
        <v>1356</v>
      </c>
      <c r="G103" s="19" t="s">
        <v>658</v>
      </c>
      <c r="H103" s="18">
        <v>21.333333333333336</v>
      </c>
      <c r="I103" s="17" t="s">
        <v>854</v>
      </c>
      <c r="J103" s="17" t="s">
        <v>850</v>
      </c>
      <c r="K103" s="17" t="s">
        <v>389</v>
      </c>
      <c r="L103" s="17" t="s">
        <v>1355</v>
      </c>
      <c r="M103" s="16" t="str">
        <f>HYPERLINK("http://slimages.macys.com/is/image/MCY/16014574 ")</f>
        <v xml:space="preserve">http://slimages.macys.com/is/image/MCY/16014574 </v>
      </c>
      <c r="N103" s="30"/>
    </row>
    <row r="104" spans="1:14" ht="60" x14ac:dyDescent="0.25">
      <c r="A104" s="19" t="s">
        <v>1354</v>
      </c>
      <c r="B104" s="17" t="s">
        <v>1353</v>
      </c>
      <c r="C104" s="20">
        <v>1</v>
      </c>
      <c r="D104" s="18">
        <v>74.25</v>
      </c>
      <c r="E104" s="20">
        <v>10771385</v>
      </c>
      <c r="F104" s="17" t="s">
        <v>263</v>
      </c>
      <c r="G104" s="19" t="s">
        <v>1155</v>
      </c>
      <c r="H104" s="18">
        <v>20.793333333333337</v>
      </c>
      <c r="I104" s="17" t="s">
        <v>33</v>
      </c>
      <c r="J104" s="17" t="s">
        <v>143</v>
      </c>
      <c r="K104" s="17"/>
      <c r="L104" s="17"/>
      <c r="M104" s="16" t="str">
        <f>HYPERLINK("http://slimages.macys.com/is/image/MCY/18953443 ")</f>
        <v xml:space="preserve">http://slimages.macys.com/is/image/MCY/18953443 </v>
      </c>
      <c r="N104" s="30"/>
    </row>
    <row r="105" spans="1:14" ht="60" x14ac:dyDescent="0.25">
      <c r="A105" s="19" t="s">
        <v>1352</v>
      </c>
      <c r="B105" s="17" t="s">
        <v>1351</v>
      </c>
      <c r="C105" s="20">
        <v>4</v>
      </c>
      <c r="D105" s="18">
        <v>89</v>
      </c>
      <c r="E105" s="20" t="s">
        <v>1340</v>
      </c>
      <c r="F105" s="17" t="s">
        <v>345</v>
      </c>
      <c r="G105" s="19" t="s">
        <v>62</v>
      </c>
      <c r="H105" s="18">
        <v>20.666666666666668</v>
      </c>
      <c r="I105" s="17" t="s">
        <v>133</v>
      </c>
      <c r="J105" s="17" t="s">
        <v>833</v>
      </c>
      <c r="K105" s="17"/>
      <c r="L105" s="17"/>
      <c r="M105" s="16" t="str">
        <f>HYPERLINK("http://slimages.macys.com/is/image/MCY/19304648 ")</f>
        <v xml:space="preserve">http://slimages.macys.com/is/image/MCY/19304648 </v>
      </c>
      <c r="N105" s="30"/>
    </row>
    <row r="106" spans="1:14" ht="96" x14ac:dyDescent="0.25">
      <c r="A106" s="19" t="s">
        <v>1350</v>
      </c>
      <c r="B106" s="17" t="s">
        <v>1349</v>
      </c>
      <c r="C106" s="20">
        <v>1</v>
      </c>
      <c r="D106" s="18">
        <v>119</v>
      </c>
      <c r="E106" s="20" t="s">
        <v>1348</v>
      </c>
      <c r="F106" s="17" t="s">
        <v>562</v>
      </c>
      <c r="G106" s="19" t="s">
        <v>1336</v>
      </c>
      <c r="H106" s="18">
        <v>20.666666666666668</v>
      </c>
      <c r="I106" s="17" t="s">
        <v>550</v>
      </c>
      <c r="J106" s="17" t="s">
        <v>1090</v>
      </c>
      <c r="K106" s="17" t="s">
        <v>389</v>
      </c>
      <c r="L106" s="17" t="s">
        <v>1347</v>
      </c>
      <c r="M106" s="16" t="str">
        <f>HYPERLINK("http://slimages.macys.com/is/image/MCY/9798063 ")</f>
        <v xml:space="preserve">http://slimages.macys.com/is/image/MCY/9798063 </v>
      </c>
      <c r="N106" s="30"/>
    </row>
    <row r="107" spans="1:14" ht="60" x14ac:dyDescent="0.25">
      <c r="A107" s="19" t="s">
        <v>1346</v>
      </c>
      <c r="B107" s="17" t="s">
        <v>1345</v>
      </c>
      <c r="C107" s="20">
        <v>4</v>
      </c>
      <c r="D107" s="18">
        <v>89</v>
      </c>
      <c r="E107" s="20" t="s">
        <v>1340</v>
      </c>
      <c r="F107" s="17" t="s">
        <v>345</v>
      </c>
      <c r="G107" s="19" t="s">
        <v>57</v>
      </c>
      <c r="H107" s="18">
        <v>20.666666666666668</v>
      </c>
      <c r="I107" s="17" t="s">
        <v>133</v>
      </c>
      <c r="J107" s="17" t="s">
        <v>833</v>
      </c>
      <c r="K107" s="17"/>
      <c r="L107" s="17"/>
      <c r="M107" s="16" t="str">
        <f>HYPERLINK("http://slimages.macys.com/is/image/MCY/19304648 ")</f>
        <v xml:space="preserve">http://slimages.macys.com/is/image/MCY/19304648 </v>
      </c>
      <c r="N107" s="30"/>
    </row>
    <row r="108" spans="1:14" ht="60" x14ac:dyDescent="0.25">
      <c r="A108" s="19" t="s">
        <v>1344</v>
      </c>
      <c r="B108" s="17" t="s">
        <v>1343</v>
      </c>
      <c r="C108" s="20">
        <v>1</v>
      </c>
      <c r="D108" s="18">
        <v>89</v>
      </c>
      <c r="E108" s="20" t="s">
        <v>1340</v>
      </c>
      <c r="F108" s="17" t="s">
        <v>345</v>
      </c>
      <c r="G108" s="19" t="s">
        <v>69</v>
      </c>
      <c r="H108" s="18">
        <v>20.666666666666668</v>
      </c>
      <c r="I108" s="17" t="s">
        <v>133</v>
      </c>
      <c r="J108" s="17" t="s">
        <v>833</v>
      </c>
      <c r="K108" s="17"/>
      <c r="L108" s="17"/>
      <c r="M108" s="16" t="str">
        <f>HYPERLINK("http://slimages.macys.com/is/image/MCY/19304648 ")</f>
        <v xml:space="preserve">http://slimages.macys.com/is/image/MCY/19304648 </v>
      </c>
      <c r="N108" s="30"/>
    </row>
    <row r="109" spans="1:14" ht="60" x14ac:dyDescent="0.25">
      <c r="A109" s="19" t="s">
        <v>1342</v>
      </c>
      <c r="B109" s="17" t="s">
        <v>1341</v>
      </c>
      <c r="C109" s="20">
        <v>7</v>
      </c>
      <c r="D109" s="18">
        <v>89</v>
      </c>
      <c r="E109" s="20" t="s">
        <v>1340</v>
      </c>
      <c r="F109" s="17" t="s">
        <v>345</v>
      </c>
      <c r="G109" s="19" t="s">
        <v>74</v>
      </c>
      <c r="H109" s="18">
        <v>20.666666666666668</v>
      </c>
      <c r="I109" s="17" t="s">
        <v>133</v>
      </c>
      <c r="J109" s="17" t="s">
        <v>833</v>
      </c>
      <c r="K109" s="17"/>
      <c r="L109" s="17"/>
      <c r="M109" s="16" t="str">
        <f>HYPERLINK("http://slimages.macys.com/is/image/MCY/19304648 ")</f>
        <v xml:space="preserve">http://slimages.macys.com/is/image/MCY/19304648 </v>
      </c>
      <c r="N109" s="30"/>
    </row>
    <row r="110" spans="1:14" ht="144" x14ac:dyDescent="0.25">
      <c r="A110" s="19" t="s">
        <v>1339</v>
      </c>
      <c r="B110" s="17" t="s">
        <v>1338</v>
      </c>
      <c r="C110" s="20">
        <v>1</v>
      </c>
      <c r="D110" s="18">
        <v>119</v>
      </c>
      <c r="E110" s="20" t="s">
        <v>1337</v>
      </c>
      <c r="F110" s="17" t="s">
        <v>28</v>
      </c>
      <c r="G110" s="19" t="s">
        <v>1336</v>
      </c>
      <c r="H110" s="18">
        <v>20.666666666666668</v>
      </c>
      <c r="I110" s="17" t="s">
        <v>550</v>
      </c>
      <c r="J110" s="17" t="s">
        <v>1090</v>
      </c>
      <c r="K110" s="17" t="s">
        <v>389</v>
      </c>
      <c r="L110" s="17" t="s">
        <v>1335</v>
      </c>
      <c r="M110" s="16" t="str">
        <f>HYPERLINK("http://slimages.macys.com/is/image/MCY/9626500 ")</f>
        <v xml:space="preserve">http://slimages.macys.com/is/image/MCY/9626500 </v>
      </c>
      <c r="N110" s="30"/>
    </row>
    <row r="111" spans="1:14" ht="60" x14ac:dyDescent="0.25">
      <c r="A111" s="19" t="s">
        <v>1334</v>
      </c>
      <c r="B111" s="17" t="s">
        <v>1333</v>
      </c>
      <c r="C111" s="20">
        <v>1</v>
      </c>
      <c r="D111" s="18">
        <v>88</v>
      </c>
      <c r="E111" s="20" t="s">
        <v>1332</v>
      </c>
      <c r="F111" s="17" t="s">
        <v>85</v>
      </c>
      <c r="G111" s="19" t="s">
        <v>69</v>
      </c>
      <c r="H111" s="18">
        <v>20.533333333333335</v>
      </c>
      <c r="I111" s="17" t="s">
        <v>133</v>
      </c>
      <c r="J111" s="17" t="s">
        <v>132</v>
      </c>
      <c r="K111" s="17"/>
      <c r="L111" s="17"/>
      <c r="M111" s="16" t="str">
        <f>HYPERLINK("http://slimages.macys.com/is/image/MCY/19700402 ")</f>
        <v xml:space="preserve">http://slimages.macys.com/is/image/MCY/19700402 </v>
      </c>
      <c r="N111" s="30"/>
    </row>
    <row r="112" spans="1:14" ht="60" x14ac:dyDescent="0.25">
      <c r="A112" s="19" t="s">
        <v>1331</v>
      </c>
      <c r="B112" s="17" t="s">
        <v>1330</v>
      </c>
      <c r="C112" s="20">
        <v>1</v>
      </c>
      <c r="D112" s="18">
        <v>99.99</v>
      </c>
      <c r="E112" s="20">
        <v>50038279</v>
      </c>
      <c r="F112" s="17" t="s">
        <v>535</v>
      </c>
      <c r="G112" s="19" t="s">
        <v>116</v>
      </c>
      <c r="H112" s="18">
        <v>20</v>
      </c>
      <c r="I112" s="17" t="s">
        <v>854</v>
      </c>
      <c r="J112" s="17" t="s">
        <v>850</v>
      </c>
      <c r="K112" s="17" t="s">
        <v>389</v>
      </c>
      <c r="L112" s="17" t="s">
        <v>1329</v>
      </c>
      <c r="M112" s="16" t="str">
        <f>HYPERLINK("http://slimages.macys.com/is/image/MCY/11867832 ")</f>
        <v xml:space="preserve">http://slimages.macys.com/is/image/MCY/11867832 </v>
      </c>
      <c r="N112" s="30"/>
    </row>
    <row r="113" spans="1:14" ht="144" x14ac:dyDescent="0.25">
      <c r="A113" s="19" t="s">
        <v>1328</v>
      </c>
      <c r="B113" s="17" t="s">
        <v>1327</v>
      </c>
      <c r="C113" s="20">
        <v>1</v>
      </c>
      <c r="D113" s="18">
        <v>79.989999999999995</v>
      </c>
      <c r="E113" s="20">
        <v>50038431</v>
      </c>
      <c r="F113" s="17" t="s">
        <v>544</v>
      </c>
      <c r="G113" s="19" t="s">
        <v>116</v>
      </c>
      <c r="H113" s="18">
        <v>20</v>
      </c>
      <c r="I113" s="17" t="s">
        <v>854</v>
      </c>
      <c r="J113" s="17" t="s">
        <v>850</v>
      </c>
      <c r="K113" s="17" t="s">
        <v>389</v>
      </c>
      <c r="L113" s="17" t="s">
        <v>1326</v>
      </c>
      <c r="M113" s="16" t="str">
        <f>HYPERLINK("http://slimages.macys.com/is/image/MCY/12936502 ")</f>
        <v xml:space="preserve">http://slimages.macys.com/is/image/MCY/12936502 </v>
      </c>
      <c r="N113" s="30"/>
    </row>
    <row r="114" spans="1:14" ht="96" x14ac:dyDescent="0.25">
      <c r="A114" s="19" t="s">
        <v>1325</v>
      </c>
      <c r="B114" s="17" t="s">
        <v>1324</v>
      </c>
      <c r="C114" s="20">
        <v>1</v>
      </c>
      <c r="D114" s="18">
        <v>119</v>
      </c>
      <c r="E114" s="20">
        <v>10735184</v>
      </c>
      <c r="F114" s="17" t="s">
        <v>1323</v>
      </c>
      <c r="G114" s="19" t="s">
        <v>898</v>
      </c>
      <c r="H114" s="18">
        <v>19.833333333333336</v>
      </c>
      <c r="I114" s="17" t="s">
        <v>144</v>
      </c>
      <c r="J114" s="17" t="s">
        <v>1211</v>
      </c>
      <c r="K114" s="17" t="s">
        <v>389</v>
      </c>
      <c r="L114" s="17" t="s">
        <v>1322</v>
      </c>
      <c r="M114" s="16" t="str">
        <f>HYPERLINK("http://slimages.macys.com/is/image/MCY/14813291 ")</f>
        <v xml:space="preserve">http://slimages.macys.com/is/image/MCY/14813291 </v>
      </c>
      <c r="N114" s="30"/>
    </row>
    <row r="115" spans="1:14" ht="84" x14ac:dyDescent="0.25">
      <c r="A115" s="19" t="s">
        <v>1321</v>
      </c>
      <c r="B115" s="17" t="s">
        <v>1320</v>
      </c>
      <c r="C115" s="20">
        <v>1</v>
      </c>
      <c r="D115" s="18">
        <v>119</v>
      </c>
      <c r="E115" s="20">
        <v>10750976</v>
      </c>
      <c r="F115" s="17" t="s">
        <v>91</v>
      </c>
      <c r="G115" s="19" t="s">
        <v>749</v>
      </c>
      <c r="H115" s="18">
        <v>19.833333333333336</v>
      </c>
      <c r="I115" s="17" t="s">
        <v>144</v>
      </c>
      <c r="J115" s="17" t="s">
        <v>1211</v>
      </c>
      <c r="K115" s="17" t="s">
        <v>389</v>
      </c>
      <c r="L115" s="17" t="s">
        <v>1154</v>
      </c>
      <c r="M115" s="16" t="str">
        <f>HYPERLINK("http://slimages.macys.com/is/image/MCY/16095051 ")</f>
        <v xml:space="preserve">http://slimages.macys.com/is/image/MCY/16095051 </v>
      </c>
      <c r="N115" s="30"/>
    </row>
    <row r="116" spans="1:14" ht="60" x14ac:dyDescent="0.25">
      <c r="A116" s="19" t="s">
        <v>1319</v>
      </c>
      <c r="B116" s="17" t="s">
        <v>1318</v>
      </c>
      <c r="C116" s="20">
        <v>1</v>
      </c>
      <c r="D116" s="18">
        <v>99</v>
      </c>
      <c r="E116" s="20" t="s">
        <v>1317</v>
      </c>
      <c r="F116" s="17" t="s">
        <v>282</v>
      </c>
      <c r="G116" s="19" t="s">
        <v>898</v>
      </c>
      <c r="H116" s="18">
        <v>19.8</v>
      </c>
      <c r="I116" s="17" t="s">
        <v>144</v>
      </c>
      <c r="J116" s="17" t="s">
        <v>496</v>
      </c>
      <c r="K116" s="17"/>
      <c r="L116" s="17"/>
      <c r="M116" s="16" t="str">
        <f>HYPERLINK("http://slimages.macys.com/is/image/MCY/19035952 ")</f>
        <v xml:space="preserve">http://slimages.macys.com/is/image/MCY/19035952 </v>
      </c>
      <c r="N116" s="30"/>
    </row>
    <row r="117" spans="1:14" ht="60" x14ac:dyDescent="0.25">
      <c r="A117" s="19" t="s">
        <v>1316</v>
      </c>
      <c r="B117" s="17" t="s">
        <v>1315</v>
      </c>
      <c r="C117" s="20">
        <v>8</v>
      </c>
      <c r="D117" s="18">
        <v>85</v>
      </c>
      <c r="E117" s="20" t="s">
        <v>1314</v>
      </c>
      <c r="F117" s="17" t="s">
        <v>562</v>
      </c>
      <c r="G117" s="19" t="s">
        <v>69</v>
      </c>
      <c r="H117" s="18">
        <v>19.333333333333332</v>
      </c>
      <c r="I117" s="17" t="s">
        <v>133</v>
      </c>
      <c r="J117" s="17" t="s">
        <v>833</v>
      </c>
      <c r="K117" s="17"/>
      <c r="L117" s="17"/>
      <c r="M117" s="16" t="str">
        <f>HYPERLINK("http://slimages.macys.com/is/image/MCY/19305509 ")</f>
        <v xml:space="preserve">http://slimages.macys.com/is/image/MCY/19305509 </v>
      </c>
      <c r="N117" s="30"/>
    </row>
    <row r="118" spans="1:14" ht="60" x14ac:dyDescent="0.25">
      <c r="A118" s="19" t="s">
        <v>1313</v>
      </c>
      <c r="B118" s="17" t="s">
        <v>1312</v>
      </c>
      <c r="C118" s="20">
        <v>1</v>
      </c>
      <c r="D118" s="18">
        <v>99</v>
      </c>
      <c r="E118" s="20" t="s">
        <v>1311</v>
      </c>
      <c r="F118" s="17" t="s">
        <v>716</v>
      </c>
      <c r="G118" s="19" t="s">
        <v>749</v>
      </c>
      <c r="H118" s="18">
        <v>19.326666666666668</v>
      </c>
      <c r="I118" s="17" t="s">
        <v>550</v>
      </c>
      <c r="J118" s="17" t="s">
        <v>1310</v>
      </c>
      <c r="K118" s="17"/>
      <c r="L118" s="17"/>
      <c r="M118" s="16" t="str">
        <f>HYPERLINK("http://slimages.macys.com/is/image/MCY/16807834 ")</f>
        <v xml:space="preserve">http://slimages.macys.com/is/image/MCY/16807834 </v>
      </c>
      <c r="N118" s="30"/>
    </row>
    <row r="119" spans="1:14" ht="60" x14ac:dyDescent="0.25">
      <c r="A119" s="19" t="s">
        <v>1309</v>
      </c>
      <c r="B119" s="17" t="s">
        <v>1308</v>
      </c>
      <c r="C119" s="20">
        <v>1</v>
      </c>
      <c r="D119" s="18">
        <v>99</v>
      </c>
      <c r="E119" s="20">
        <v>10758722</v>
      </c>
      <c r="F119" s="17" t="s">
        <v>23</v>
      </c>
      <c r="G119" s="19" t="s">
        <v>916</v>
      </c>
      <c r="H119" s="18">
        <v>19.14</v>
      </c>
      <c r="I119" s="17" t="s">
        <v>1307</v>
      </c>
      <c r="J119" s="17" t="s">
        <v>1306</v>
      </c>
      <c r="K119" s="17"/>
      <c r="L119" s="17"/>
      <c r="M119" s="16" t="str">
        <f>HYPERLINK("http://slimages.macys.com/is/image/MCY/17505008 ")</f>
        <v xml:space="preserve">http://slimages.macys.com/is/image/MCY/17505008 </v>
      </c>
      <c r="N119" s="30"/>
    </row>
    <row r="120" spans="1:14" ht="60" x14ac:dyDescent="0.25">
      <c r="A120" s="19" t="s">
        <v>1305</v>
      </c>
      <c r="B120" s="17" t="s">
        <v>1304</v>
      </c>
      <c r="C120" s="20">
        <v>1</v>
      </c>
      <c r="D120" s="18">
        <v>99.5</v>
      </c>
      <c r="E120" s="20" t="s">
        <v>1303</v>
      </c>
      <c r="F120" s="17" t="s">
        <v>23</v>
      </c>
      <c r="G120" s="19" t="s">
        <v>271</v>
      </c>
      <c r="H120" s="18">
        <v>18.906666666666666</v>
      </c>
      <c r="I120" s="17" t="s">
        <v>540</v>
      </c>
      <c r="J120" s="17" t="s">
        <v>105</v>
      </c>
      <c r="K120" s="17"/>
      <c r="L120" s="17"/>
      <c r="M120" s="16" t="str">
        <f>HYPERLINK("http://slimages.macys.com/is/image/MCY/19037117 ")</f>
        <v xml:space="preserve">http://slimages.macys.com/is/image/MCY/19037117 </v>
      </c>
      <c r="N120" s="30"/>
    </row>
    <row r="121" spans="1:14" ht="84" x14ac:dyDescent="0.25">
      <c r="A121" s="19" t="s">
        <v>1302</v>
      </c>
      <c r="B121" s="17" t="s">
        <v>1301</v>
      </c>
      <c r="C121" s="20">
        <v>1</v>
      </c>
      <c r="D121" s="18">
        <v>74.25</v>
      </c>
      <c r="E121" s="20">
        <v>10715517</v>
      </c>
      <c r="F121" s="17" t="s">
        <v>623</v>
      </c>
      <c r="G121" s="19" t="s">
        <v>1155</v>
      </c>
      <c r="H121" s="18">
        <v>18.713333333333335</v>
      </c>
      <c r="I121" s="17" t="s">
        <v>33</v>
      </c>
      <c r="J121" s="17" t="s">
        <v>143</v>
      </c>
      <c r="K121" s="17" t="s">
        <v>389</v>
      </c>
      <c r="L121" s="17" t="s">
        <v>1154</v>
      </c>
      <c r="M121" s="16" t="str">
        <f>HYPERLINK("http://slimages.macys.com/is/image/MCY/11700436 ")</f>
        <v xml:space="preserve">http://slimages.macys.com/is/image/MCY/11700436 </v>
      </c>
      <c r="N121" s="30"/>
    </row>
    <row r="122" spans="1:14" ht="60" x14ac:dyDescent="0.25">
      <c r="A122" s="19" t="s">
        <v>1300</v>
      </c>
      <c r="B122" s="17" t="s">
        <v>1299</v>
      </c>
      <c r="C122" s="20">
        <v>1</v>
      </c>
      <c r="D122" s="18">
        <v>66.75</v>
      </c>
      <c r="E122" s="20">
        <v>10758393</v>
      </c>
      <c r="F122" s="17" t="s">
        <v>140</v>
      </c>
      <c r="G122" s="19" t="s">
        <v>738</v>
      </c>
      <c r="H122" s="18">
        <v>18.693333333333332</v>
      </c>
      <c r="I122" s="17" t="s">
        <v>33</v>
      </c>
      <c r="J122" s="17" t="s">
        <v>143</v>
      </c>
      <c r="K122" s="17"/>
      <c r="L122" s="17"/>
      <c r="M122" s="16" t="str">
        <f>HYPERLINK("http://slimages.macys.com/is/image/MCY/18301633 ")</f>
        <v xml:space="preserve">http://slimages.macys.com/is/image/MCY/18301633 </v>
      </c>
      <c r="N122" s="30"/>
    </row>
    <row r="123" spans="1:14" ht="60" x14ac:dyDescent="0.25">
      <c r="A123" s="19" t="s">
        <v>1298</v>
      </c>
      <c r="B123" s="17" t="s">
        <v>1297</v>
      </c>
      <c r="C123" s="20">
        <v>1</v>
      </c>
      <c r="D123" s="18">
        <v>74.25</v>
      </c>
      <c r="E123" s="20" t="s">
        <v>1296</v>
      </c>
      <c r="F123" s="17" t="s">
        <v>282</v>
      </c>
      <c r="G123" s="19"/>
      <c r="H123" s="18">
        <v>18.686666666666667</v>
      </c>
      <c r="I123" s="17" t="s">
        <v>358</v>
      </c>
      <c r="J123" s="17" t="s">
        <v>32</v>
      </c>
      <c r="K123" s="17"/>
      <c r="L123" s="17"/>
      <c r="M123" s="16" t="str">
        <f>HYPERLINK("http://slimages.macys.com/is/image/MCY/19728327 ")</f>
        <v xml:space="preserve">http://slimages.macys.com/is/image/MCY/19728327 </v>
      </c>
      <c r="N123" s="30"/>
    </row>
    <row r="124" spans="1:14" ht="60" x14ac:dyDescent="0.25">
      <c r="A124" s="19" t="s">
        <v>1295</v>
      </c>
      <c r="B124" s="17" t="s">
        <v>1294</v>
      </c>
      <c r="C124" s="20">
        <v>1</v>
      </c>
      <c r="D124" s="18">
        <v>74.25</v>
      </c>
      <c r="E124" s="20" t="s">
        <v>1293</v>
      </c>
      <c r="F124" s="17" t="s">
        <v>562</v>
      </c>
      <c r="G124" s="19" t="s">
        <v>1292</v>
      </c>
      <c r="H124" s="18">
        <v>18.68</v>
      </c>
      <c r="I124" s="17" t="s">
        <v>358</v>
      </c>
      <c r="J124" s="17" t="s">
        <v>32</v>
      </c>
      <c r="K124" s="17"/>
      <c r="L124" s="17"/>
      <c r="M124" s="16" t="str">
        <f>HYPERLINK("http://slimages.macys.com/is/image/MCY/19547877 ")</f>
        <v xml:space="preserve">http://slimages.macys.com/is/image/MCY/19547877 </v>
      </c>
      <c r="N124" s="30"/>
    </row>
    <row r="125" spans="1:14" ht="60" x14ac:dyDescent="0.25">
      <c r="A125" s="19" t="s">
        <v>1291</v>
      </c>
      <c r="B125" s="17" t="s">
        <v>1290</v>
      </c>
      <c r="C125" s="20">
        <v>1</v>
      </c>
      <c r="D125" s="18">
        <v>74.25</v>
      </c>
      <c r="E125" s="20" t="s">
        <v>1289</v>
      </c>
      <c r="F125" s="17" t="s">
        <v>339</v>
      </c>
      <c r="G125" s="19" t="s">
        <v>880</v>
      </c>
      <c r="H125" s="18">
        <v>18.68</v>
      </c>
      <c r="I125" s="17" t="s">
        <v>358</v>
      </c>
      <c r="J125" s="17" t="s">
        <v>32</v>
      </c>
      <c r="K125" s="17"/>
      <c r="L125" s="17"/>
      <c r="M125" s="16" t="str">
        <f>HYPERLINK("http://slimages.macys.com/is/image/MCY/19548016 ")</f>
        <v xml:space="preserve">http://slimages.macys.com/is/image/MCY/19548016 </v>
      </c>
      <c r="N125" s="30"/>
    </row>
    <row r="126" spans="1:14" ht="60" x14ac:dyDescent="0.25">
      <c r="A126" s="19" t="s">
        <v>1288</v>
      </c>
      <c r="B126" s="17" t="s">
        <v>1287</v>
      </c>
      <c r="C126" s="20">
        <v>3</v>
      </c>
      <c r="D126" s="18">
        <v>68</v>
      </c>
      <c r="E126" s="20" t="s">
        <v>1282</v>
      </c>
      <c r="F126" s="17" t="s">
        <v>23</v>
      </c>
      <c r="G126" s="19" t="s">
        <v>62</v>
      </c>
      <c r="H126" s="18">
        <v>18.666666666666668</v>
      </c>
      <c r="I126" s="17" t="s">
        <v>133</v>
      </c>
      <c r="J126" s="17" t="s">
        <v>833</v>
      </c>
      <c r="K126" s="17"/>
      <c r="L126" s="17"/>
      <c r="M126" s="16" t="str">
        <f>HYPERLINK("http://slimages.macys.com/is/image/MCY/19304674 ")</f>
        <v xml:space="preserve">http://slimages.macys.com/is/image/MCY/19304674 </v>
      </c>
      <c r="N126" s="30"/>
    </row>
    <row r="127" spans="1:14" ht="60" x14ac:dyDescent="0.25">
      <c r="A127" s="19" t="s">
        <v>1286</v>
      </c>
      <c r="B127" s="17" t="s">
        <v>1285</v>
      </c>
      <c r="C127" s="20">
        <v>1</v>
      </c>
      <c r="D127" s="18">
        <v>68</v>
      </c>
      <c r="E127" s="20" t="s">
        <v>1282</v>
      </c>
      <c r="F127" s="17" t="s">
        <v>23</v>
      </c>
      <c r="G127" s="19" t="s">
        <v>57</v>
      </c>
      <c r="H127" s="18">
        <v>18.666666666666668</v>
      </c>
      <c r="I127" s="17" t="s">
        <v>133</v>
      </c>
      <c r="J127" s="17" t="s">
        <v>833</v>
      </c>
      <c r="K127" s="17"/>
      <c r="L127" s="17"/>
      <c r="M127" s="16" t="str">
        <f>HYPERLINK("http://slimages.macys.com/is/image/MCY/19304674 ")</f>
        <v xml:space="preserve">http://slimages.macys.com/is/image/MCY/19304674 </v>
      </c>
      <c r="N127" s="30"/>
    </row>
    <row r="128" spans="1:14" ht="60" x14ac:dyDescent="0.25">
      <c r="A128" s="19" t="s">
        <v>1284</v>
      </c>
      <c r="B128" s="17" t="s">
        <v>1283</v>
      </c>
      <c r="C128" s="20">
        <v>3</v>
      </c>
      <c r="D128" s="18">
        <v>68</v>
      </c>
      <c r="E128" s="20" t="s">
        <v>1282</v>
      </c>
      <c r="F128" s="17" t="s">
        <v>23</v>
      </c>
      <c r="G128" s="19" t="s">
        <v>69</v>
      </c>
      <c r="H128" s="18">
        <v>18.666666666666668</v>
      </c>
      <c r="I128" s="17" t="s">
        <v>133</v>
      </c>
      <c r="J128" s="17" t="s">
        <v>833</v>
      </c>
      <c r="K128" s="17"/>
      <c r="L128" s="17"/>
      <c r="M128" s="16" t="str">
        <f>HYPERLINK("http://slimages.macys.com/is/image/MCY/19304674 ")</f>
        <v xml:space="preserve">http://slimages.macys.com/is/image/MCY/19304674 </v>
      </c>
      <c r="N128" s="30"/>
    </row>
    <row r="129" spans="1:14" ht="60" x14ac:dyDescent="0.25">
      <c r="A129" s="19" t="s">
        <v>1281</v>
      </c>
      <c r="B129" s="17" t="s">
        <v>1280</v>
      </c>
      <c r="C129" s="20">
        <v>1</v>
      </c>
      <c r="D129" s="18">
        <v>99</v>
      </c>
      <c r="E129" s="20" t="s">
        <v>1279</v>
      </c>
      <c r="F129" s="17" t="s">
        <v>575</v>
      </c>
      <c r="G129" s="19" t="s">
        <v>698</v>
      </c>
      <c r="H129" s="18">
        <v>18.48</v>
      </c>
      <c r="I129" s="17" t="s">
        <v>820</v>
      </c>
      <c r="J129" s="17" t="s">
        <v>67</v>
      </c>
      <c r="K129" s="17"/>
      <c r="L129" s="17"/>
      <c r="M129" s="16" t="str">
        <f>HYPERLINK("http://slimages.macys.com/is/image/MCY/19686753 ")</f>
        <v xml:space="preserve">http://slimages.macys.com/is/image/MCY/19686753 </v>
      </c>
      <c r="N129" s="30"/>
    </row>
    <row r="130" spans="1:14" ht="60" x14ac:dyDescent="0.25">
      <c r="A130" s="19" t="s">
        <v>1278</v>
      </c>
      <c r="B130" s="17" t="s">
        <v>1277</v>
      </c>
      <c r="C130" s="20">
        <v>1</v>
      </c>
      <c r="D130" s="18">
        <v>89.5</v>
      </c>
      <c r="E130" s="20" t="s">
        <v>1274</v>
      </c>
      <c r="F130" s="17" t="s">
        <v>91</v>
      </c>
      <c r="G130" s="19" t="s">
        <v>57</v>
      </c>
      <c r="H130" s="18">
        <v>18.033333333333335</v>
      </c>
      <c r="I130" s="17" t="s">
        <v>106</v>
      </c>
      <c r="J130" s="17" t="s">
        <v>105</v>
      </c>
      <c r="K130" s="17"/>
      <c r="L130" s="17"/>
      <c r="M130" s="16" t="str">
        <f>HYPERLINK("http://slimages.macys.com/is/image/MCY/19900024 ")</f>
        <v xml:space="preserve">http://slimages.macys.com/is/image/MCY/19900024 </v>
      </c>
      <c r="N130" s="30"/>
    </row>
    <row r="131" spans="1:14" ht="60" x14ac:dyDescent="0.25">
      <c r="A131" s="19" t="s">
        <v>1276</v>
      </c>
      <c r="B131" s="17" t="s">
        <v>1275</v>
      </c>
      <c r="C131" s="20">
        <v>1</v>
      </c>
      <c r="D131" s="18">
        <v>89.5</v>
      </c>
      <c r="E131" s="20" t="s">
        <v>1274</v>
      </c>
      <c r="F131" s="17" t="s">
        <v>91</v>
      </c>
      <c r="G131" s="19" t="s">
        <v>74</v>
      </c>
      <c r="H131" s="18">
        <v>18.033333333333335</v>
      </c>
      <c r="I131" s="17" t="s">
        <v>106</v>
      </c>
      <c r="J131" s="17" t="s">
        <v>105</v>
      </c>
      <c r="K131" s="17"/>
      <c r="L131" s="17"/>
      <c r="M131" s="16" t="str">
        <f>HYPERLINK("http://slimages.macys.com/is/image/MCY/19900024 ")</f>
        <v xml:space="preserve">http://slimages.macys.com/is/image/MCY/19900024 </v>
      </c>
      <c r="N131" s="30"/>
    </row>
    <row r="132" spans="1:14" ht="60" x14ac:dyDescent="0.25">
      <c r="A132" s="19" t="s">
        <v>1273</v>
      </c>
      <c r="B132" s="17" t="s">
        <v>1272</v>
      </c>
      <c r="C132" s="20">
        <v>1</v>
      </c>
      <c r="D132" s="18">
        <v>89</v>
      </c>
      <c r="E132" s="20">
        <v>10817046</v>
      </c>
      <c r="F132" s="17" t="s">
        <v>575</v>
      </c>
      <c r="G132" s="19" t="s">
        <v>271</v>
      </c>
      <c r="H132" s="18">
        <v>17.8</v>
      </c>
      <c r="I132" s="17" t="s">
        <v>358</v>
      </c>
      <c r="J132" s="17" t="s">
        <v>554</v>
      </c>
      <c r="K132" s="17"/>
      <c r="L132" s="17"/>
      <c r="M132" s="16" t="str">
        <f>HYPERLINK("http://slimages.macys.com/is/image/MCY/19382277 ")</f>
        <v xml:space="preserve">http://slimages.macys.com/is/image/MCY/19382277 </v>
      </c>
      <c r="N132" s="30"/>
    </row>
    <row r="133" spans="1:14" ht="60" x14ac:dyDescent="0.25">
      <c r="A133" s="19" t="s">
        <v>1271</v>
      </c>
      <c r="B133" s="17" t="s">
        <v>1270</v>
      </c>
      <c r="C133" s="20">
        <v>1</v>
      </c>
      <c r="D133" s="18">
        <v>89</v>
      </c>
      <c r="E133" s="20">
        <v>10817046</v>
      </c>
      <c r="F133" s="17" t="s">
        <v>575</v>
      </c>
      <c r="G133" s="19" t="s">
        <v>351</v>
      </c>
      <c r="H133" s="18">
        <v>17.8</v>
      </c>
      <c r="I133" s="17" t="s">
        <v>358</v>
      </c>
      <c r="J133" s="17" t="s">
        <v>554</v>
      </c>
      <c r="K133" s="17"/>
      <c r="L133" s="17"/>
      <c r="M133" s="16" t="str">
        <f>HYPERLINK("http://slimages.macys.com/is/image/MCY/19382277 ")</f>
        <v xml:space="preserve">http://slimages.macys.com/is/image/MCY/19382277 </v>
      </c>
      <c r="N133" s="30"/>
    </row>
    <row r="134" spans="1:14" ht="60" x14ac:dyDescent="0.25">
      <c r="A134" s="19" t="s">
        <v>1269</v>
      </c>
      <c r="B134" s="17" t="s">
        <v>1268</v>
      </c>
      <c r="C134" s="20">
        <v>1</v>
      </c>
      <c r="D134" s="18">
        <v>89</v>
      </c>
      <c r="E134" s="20">
        <v>10817046</v>
      </c>
      <c r="F134" s="17" t="s">
        <v>575</v>
      </c>
      <c r="G134" s="19" t="s">
        <v>139</v>
      </c>
      <c r="H134" s="18">
        <v>17.8</v>
      </c>
      <c r="I134" s="17" t="s">
        <v>358</v>
      </c>
      <c r="J134" s="17" t="s">
        <v>554</v>
      </c>
      <c r="K134" s="17"/>
      <c r="L134" s="17"/>
      <c r="M134" s="16" t="str">
        <f>HYPERLINK("http://slimages.macys.com/is/image/MCY/19382277 ")</f>
        <v xml:space="preserve">http://slimages.macys.com/is/image/MCY/19382277 </v>
      </c>
      <c r="N134" s="30"/>
    </row>
    <row r="135" spans="1:14" ht="60" x14ac:dyDescent="0.25">
      <c r="A135" s="19" t="s">
        <v>1267</v>
      </c>
      <c r="B135" s="17" t="s">
        <v>1266</v>
      </c>
      <c r="C135" s="20">
        <v>1</v>
      </c>
      <c r="D135" s="18">
        <v>89</v>
      </c>
      <c r="E135" s="20">
        <v>10770864</v>
      </c>
      <c r="F135" s="17" t="s">
        <v>558</v>
      </c>
      <c r="G135" s="19" t="s">
        <v>116</v>
      </c>
      <c r="H135" s="18">
        <v>17.8</v>
      </c>
      <c r="I135" s="17" t="s">
        <v>115</v>
      </c>
      <c r="J135" s="17" t="s">
        <v>1265</v>
      </c>
      <c r="K135" s="17"/>
      <c r="L135" s="17"/>
      <c r="M135" s="16" t="str">
        <f>HYPERLINK("http://slimages.macys.com/is/image/MCY/16893094 ")</f>
        <v xml:space="preserve">http://slimages.macys.com/is/image/MCY/16893094 </v>
      </c>
      <c r="N135" s="30"/>
    </row>
    <row r="136" spans="1:14" ht="96" x14ac:dyDescent="0.25">
      <c r="A136" s="19" t="s">
        <v>1264</v>
      </c>
      <c r="B136" s="17" t="s">
        <v>1263</v>
      </c>
      <c r="C136" s="20">
        <v>1</v>
      </c>
      <c r="D136" s="18">
        <v>99</v>
      </c>
      <c r="E136" s="20">
        <v>9328771</v>
      </c>
      <c r="F136" s="17" t="s">
        <v>282</v>
      </c>
      <c r="G136" s="19" t="s">
        <v>773</v>
      </c>
      <c r="H136" s="18">
        <v>17.666666666666668</v>
      </c>
      <c r="I136" s="17" t="s">
        <v>550</v>
      </c>
      <c r="J136" s="17" t="s">
        <v>1262</v>
      </c>
      <c r="K136" s="17" t="s">
        <v>389</v>
      </c>
      <c r="L136" s="17" t="s">
        <v>1261</v>
      </c>
      <c r="M136" s="16" t="str">
        <f>HYPERLINK("http://slimages.macys.com/is/image/MCY/16095085 ")</f>
        <v xml:space="preserve">http://slimages.macys.com/is/image/MCY/16095085 </v>
      </c>
      <c r="N136" s="30"/>
    </row>
    <row r="137" spans="1:14" ht="84" x14ac:dyDescent="0.25">
      <c r="A137" s="19" t="s">
        <v>1260</v>
      </c>
      <c r="B137" s="17" t="s">
        <v>1259</v>
      </c>
      <c r="C137" s="20">
        <v>1</v>
      </c>
      <c r="D137" s="18">
        <v>66.75</v>
      </c>
      <c r="E137" s="20">
        <v>10695400</v>
      </c>
      <c r="F137" s="17" t="s">
        <v>51</v>
      </c>
      <c r="G137" s="19"/>
      <c r="H137" s="18">
        <v>16.82</v>
      </c>
      <c r="I137" s="17" t="s">
        <v>358</v>
      </c>
      <c r="J137" s="17" t="s">
        <v>143</v>
      </c>
      <c r="K137" s="17" t="s">
        <v>389</v>
      </c>
      <c r="L137" s="17" t="s">
        <v>1154</v>
      </c>
      <c r="M137" s="16" t="str">
        <f>HYPERLINK("http://slimages.macys.com/is/image/MCY/14829582 ")</f>
        <v xml:space="preserve">http://slimages.macys.com/is/image/MCY/14829582 </v>
      </c>
      <c r="N137" s="30"/>
    </row>
    <row r="138" spans="1:14" ht="60" x14ac:dyDescent="0.25">
      <c r="A138" s="19" t="s">
        <v>1258</v>
      </c>
      <c r="B138" s="17" t="s">
        <v>1257</v>
      </c>
      <c r="C138" s="20">
        <v>1</v>
      </c>
      <c r="D138" s="18">
        <v>66.75</v>
      </c>
      <c r="E138" s="20">
        <v>10543036</v>
      </c>
      <c r="F138" s="17" t="s">
        <v>508</v>
      </c>
      <c r="G138" s="19" t="s">
        <v>880</v>
      </c>
      <c r="H138" s="18">
        <v>16.82</v>
      </c>
      <c r="I138" s="17" t="s">
        <v>358</v>
      </c>
      <c r="J138" s="17" t="s">
        <v>143</v>
      </c>
      <c r="K138" s="17" t="s">
        <v>389</v>
      </c>
      <c r="L138" s="17" t="s">
        <v>662</v>
      </c>
      <c r="M138" s="16" t="str">
        <f>HYPERLINK("http://slimages.macys.com/is/image/MCY/9441485 ")</f>
        <v xml:space="preserve">http://slimages.macys.com/is/image/MCY/9441485 </v>
      </c>
      <c r="N138" s="30"/>
    </row>
    <row r="139" spans="1:14" ht="60" x14ac:dyDescent="0.25">
      <c r="A139" s="19" t="s">
        <v>1256</v>
      </c>
      <c r="B139" s="17" t="s">
        <v>1255</v>
      </c>
      <c r="C139" s="20">
        <v>1</v>
      </c>
      <c r="D139" s="18">
        <v>89</v>
      </c>
      <c r="E139" s="20" t="s">
        <v>1254</v>
      </c>
      <c r="F139" s="17" t="s">
        <v>58</v>
      </c>
      <c r="G139" s="19" t="s">
        <v>874</v>
      </c>
      <c r="H139" s="18">
        <v>16.613333333333333</v>
      </c>
      <c r="I139" s="17" t="s">
        <v>33</v>
      </c>
      <c r="J139" s="17" t="s">
        <v>404</v>
      </c>
      <c r="K139" s="17"/>
      <c r="L139" s="17"/>
      <c r="M139" s="16" t="str">
        <f>HYPERLINK("http://slimages.macys.com/is/image/MCY/19101070 ")</f>
        <v xml:space="preserve">http://slimages.macys.com/is/image/MCY/19101070 </v>
      </c>
      <c r="N139" s="30"/>
    </row>
    <row r="140" spans="1:14" ht="60" x14ac:dyDescent="0.25">
      <c r="A140" s="19" t="s">
        <v>1253</v>
      </c>
      <c r="B140" s="17" t="s">
        <v>1252</v>
      </c>
      <c r="C140" s="20">
        <v>1</v>
      </c>
      <c r="D140" s="18">
        <v>59.25</v>
      </c>
      <c r="E140" s="20">
        <v>10778234</v>
      </c>
      <c r="F140" s="17" t="s">
        <v>63</v>
      </c>
      <c r="G140" s="19" t="s">
        <v>880</v>
      </c>
      <c r="H140" s="18">
        <v>16.593333333333334</v>
      </c>
      <c r="I140" s="17" t="s">
        <v>358</v>
      </c>
      <c r="J140" s="17" t="s">
        <v>143</v>
      </c>
      <c r="K140" s="17"/>
      <c r="L140" s="17"/>
      <c r="M140" s="16" t="str">
        <f>HYPERLINK("http://slimages.macys.com/is/image/MCY/17749900 ")</f>
        <v xml:space="preserve">http://slimages.macys.com/is/image/MCY/17749900 </v>
      </c>
      <c r="N140" s="30"/>
    </row>
    <row r="141" spans="1:14" ht="60" x14ac:dyDescent="0.25">
      <c r="A141" s="19" t="s">
        <v>1251</v>
      </c>
      <c r="B141" s="17" t="s">
        <v>1250</v>
      </c>
      <c r="C141" s="20">
        <v>1</v>
      </c>
      <c r="D141" s="18">
        <v>79.5</v>
      </c>
      <c r="E141" s="20" t="s">
        <v>1249</v>
      </c>
      <c r="F141" s="17" t="s">
        <v>164</v>
      </c>
      <c r="G141" s="19" t="s">
        <v>74</v>
      </c>
      <c r="H141" s="18">
        <v>16.013333333333335</v>
      </c>
      <c r="I141" s="17" t="s">
        <v>106</v>
      </c>
      <c r="J141" s="17" t="s">
        <v>105</v>
      </c>
      <c r="K141" s="17"/>
      <c r="L141" s="17"/>
      <c r="M141" s="16" t="str">
        <f>HYPERLINK("http://slimages.macys.com/is/image/MCY/19965885 ")</f>
        <v xml:space="preserve">http://slimages.macys.com/is/image/MCY/19965885 </v>
      </c>
      <c r="N141" s="30"/>
    </row>
    <row r="142" spans="1:14" ht="60" x14ac:dyDescent="0.25">
      <c r="A142" s="19" t="s">
        <v>1248</v>
      </c>
      <c r="B142" s="17" t="s">
        <v>1247</v>
      </c>
      <c r="C142" s="20">
        <v>1</v>
      </c>
      <c r="D142" s="18">
        <v>79.5</v>
      </c>
      <c r="E142" s="20" t="s">
        <v>1244</v>
      </c>
      <c r="F142" s="17" t="s">
        <v>91</v>
      </c>
      <c r="G142" s="19" t="s">
        <v>69</v>
      </c>
      <c r="H142" s="18">
        <v>16.013333333333335</v>
      </c>
      <c r="I142" s="17" t="s">
        <v>106</v>
      </c>
      <c r="J142" s="17" t="s">
        <v>105</v>
      </c>
      <c r="K142" s="17"/>
      <c r="L142" s="17"/>
      <c r="M142" s="16" t="str">
        <f>HYPERLINK("http://slimages.macys.com/is/image/MCY/20125785 ")</f>
        <v xml:space="preserve">http://slimages.macys.com/is/image/MCY/20125785 </v>
      </c>
      <c r="N142" s="30"/>
    </row>
    <row r="143" spans="1:14" ht="60" x14ac:dyDescent="0.25">
      <c r="A143" s="19" t="s">
        <v>1246</v>
      </c>
      <c r="B143" s="17" t="s">
        <v>1245</v>
      </c>
      <c r="C143" s="20">
        <v>1</v>
      </c>
      <c r="D143" s="18">
        <v>79.5</v>
      </c>
      <c r="E143" s="20" t="s">
        <v>1244</v>
      </c>
      <c r="F143" s="17" t="s">
        <v>91</v>
      </c>
      <c r="G143" s="19" t="s">
        <v>62</v>
      </c>
      <c r="H143" s="18">
        <v>16.013333333333335</v>
      </c>
      <c r="I143" s="17" t="s">
        <v>106</v>
      </c>
      <c r="J143" s="17" t="s">
        <v>105</v>
      </c>
      <c r="K143" s="17"/>
      <c r="L143" s="17"/>
      <c r="M143" s="16" t="str">
        <f>HYPERLINK("http://slimages.macys.com/is/image/MCY/20125785 ")</f>
        <v xml:space="preserve">http://slimages.macys.com/is/image/MCY/20125785 </v>
      </c>
      <c r="N143" s="30"/>
    </row>
    <row r="144" spans="1:14" ht="60" x14ac:dyDescent="0.25">
      <c r="A144" s="19" t="s">
        <v>1243</v>
      </c>
      <c r="B144" s="17" t="s">
        <v>1242</v>
      </c>
      <c r="C144" s="20">
        <v>1</v>
      </c>
      <c r="D144" s="18">
        <v>75</v>
      </c>
      <c r="E144" s="20" t="s">
        <v>1241</v>
      </c>
      <c r="F144" s="17" t="s">
        <v>51</v>
      </c>
      <c r="G144" s="19" t="s">
        <v>69</v>
      </c>
      <c r="H144" s="18">
        <v>16</v>
      </c>
      <c r="I144" s="17" t="s">
        <v>80</v>
      </c>
      <c r="J144" s="17" t="s">
        <v>531</v>
      </c>
      <c r="K144" s="17"/>
      <c r="L144" s="17"/>
      <c r="M144" s="16" t="str">
        <f>HYPERLINK("http://slimages.macys.com/is/image/MCY/18269796 ")</f>
        <v xml:space="preserve">http://slimages.macys.com/is/image/MCY/18269796 </v>
      </c>
      <c r="N144" s="30"/>
    </row>
    <row r="145" spans="1:14" ht="60" x14ac:dyDescent="0.25">
      <c r="A145" s="19" t="s">
        <v>1240</v>
      </c>
      <c r="B145" s="17" t="s">
        <v>1239</v>
      </c>
      <c r="C145" s="20">
        <v>2</v>
      </c>
      <c r="D145" s="18">
        <v>66</v>
      </c>
      <c r="E145" s="20" t="s">
        <v>1238</v>
      </c>
      <c r="F145" s="17" t="s">
        <v>51</v>
      </c>
      <c r="G145" s="19" t="s">
        <v>57</v>
      </c>
      <c r="H145" s="18">
        <v>15.84</v>
      </c>
      <c r="I145" s="17" t="s">
        <v>133</v>
      </c>
      <c r="J145" s="17" t="s">
        <v>829</v>
      </c>
      <c r="K145" s="17"/>
      <c r="L145" s="17"/>
      <c r="M145" s="16" t="str">
        <f>HYPERLINK("http://slimages.macys.com/is/image/MCY/19481667 ")</f>
        <v xml:space="preserve">http://slimages.macys.com/is/image/MCY/19481667 </v>
      </c>
      <c r="N145" s="30"/>
    </row>
    <row r="146" spans="1:14" ht="60" x14ac:dyDescent="0.25">
      <c r="A146" s="19" t="s">
        <v>1237</v>
      </c>
      <c r="B146" s="17" t="s">
        <v>1236</v>
      </c>
      <c r="C146" s="20">
        <v>4</v>
      </c>
      <c r="D146" s="18">
        <v>66</v>
      </c>
      <c r="E146" s="20" t="s">
        <v>1235</v>
      </c>
      <c r="F146" s="17" t="s">
        <v>51</v>
      </c>
      <c r="G146" s="19" t="s">
        <v>74</v>
      </c>
      <c r="H146" s="18">
        <v>15.84</v>
      </c>
      <c r="I146" s="17" t="s">
        <v>133</v>
      </c>
      <c r="J146" s="17" t="s">
        <v>829</v>
      </c>
      <c r="K146" s="17"/>
      <c r="L146" s="17"/>
      <c r="M146" s="16" t="str">
        <f>HYPERLINK("http://slimages.macys.com/is/image/MCY/19481462 ")</f>
        <v xml:space="preserve">http://slimages.macys.com/is/image/MCY/19481462 </v>
      </c>
      <c r="N146" s="30"/>
    </row>
    <row r="147" spans="1:14" ht="60" x14ac:dyDescent="0.25">
      <c r="A147" s="19" t="s">
        <v>1234</v>
      </c>
      <c r="B147" s="17" t="s">
        <v>1233</v>
      </c>
      <c r="C147" s="20">
        <v>1</v>
      </c>
      <c r="D147" s="18">
        <v>79</v>
      </c>
      <c r="E147" s="20" t="s">
        <v>1232</v>
      </c>
      <c r="F147" s="17" t="s">
        <v>58</v>
      </c>
      <c r="G147" s="19" t="s">
        <v>27</v>
      </c>
      <c r="H147" s="18">
        <v>15.8</v>
      </c>
      <c r="I147" s="17" t="s">
        <v>678</v>
      </c>
      <c r="J147" s="17" t="s">
        <v>404</v>
      </c>
      <c r="K147" s="17"/>
      <c r="L147" s="17"/>
      <c r="M147" s="16" t="str">
        <f>HYPERLINK("http://slimages.macys.com/is/image/MCY/19531074 ")</f>
        <v xml:space="preserve">http://slimages.macys.com/is/image/MCY/19531074 </v>
      </c>
      <c r="N147" s="30"/>
    </row>
    <row r="148" spans="1:14" ht="60" x14ac:dyDescent="0.25">
      <c r="A148" s="19" t="s">
        <v>1231</v>
      </c>
      <c r="B148" s="17" t="s">
        <v>1230</v>
      </c>
      <c r="C148" s="20">
        <v>1</v>
      </c>
      <c r="D148" s="18">
        <v>79</v>
      </c>
      <c r="E148" s="20" t="s">
        <v>1229</v>
      </c>
      <c r="F148" s="17" t="s">
        <v>23</v>
      </c>
      <c r="G148" s="19" t="s">
        <v>749</v>
      </c>
      <c r="H148" s="18">
        <v>15.8</v>
      </c>
      <c r="I148" s="17" t="s">
        <v>144</v>
      </c>
      <c r="J148" s="17" t="s">
        <v>496</v>
      </c>
      <c r="K148" s="17"/>
      <c r="L148" s="17"/>
      <c r="M148" s="16" t="str">
        <f>HYPERLINK("http://slimages.macys.com/is/image/MCY/18849789 ")</f>
        <v xml:space="preserve">http://slimages.macys.com/is/image/MCY/18849789 </v>
      </c>
      <c r="N148" s="30"/>
    </row>
    <row r="149" spans="1:14" ht="60" x14ac:dyDescent="0.25">
      <c r="A149" s="19" t="s">
        <v>1228</v>
      </c>
      <c r="B149" s="17" t="s">
        <v>1227</v>
      </c>
      <c r="C149" s="20">
        <v>9</v>
      </c>
      <c r="D149" s="18">
        <v>68</v>
      </c>
      <c r="E149" s="20" t="s">
        <v>1224</v>
      </c>
      <c r="F149" s="17" t="s">
        <v>58</v>
      </c>
      <c r="G149" s="19" t="s">
        <v>62</v>
      </c>
      <c r="H149" s="18">
        <v>15.333333333333332</v>
      </c>
      <c r="I149" s="17" t="s">
        <v>133</v>
      </c>
      <c r="J149" s="17" t="s">
        <v>833</v>
      </c>
      <c r="K149" s="17"/>
      <c r="L149" s="17"/>
      <c r="M149" s="16" t="str">
        <f>HYPERLINK("http://slimages.macys.com/is/image/MCY/19305903 ")</f>
        <v xml:space="preserve">http://slimages.macys.com/is/image/MCY/19305903 </v>
      </c>
      <c r="N149" s="30"/>
    </row>
    <row r="150" spans="1:14" ht="60" x14ac:dyDescent="0.25">
      <c r="A150" s="19" t="s">
        <v>1226</v>
      </c>
      <c r="B150" s="17" t="s">
        <v>1225</v>
      </c>
      <c r="C150" s="20">
        <v>8</v>
      </c>
      <c r="D150" s="18">
        <v>68</v>
      </c>
      <c r="E150" s="20" t="s">
        <v>1224</v>
      </c>
      <c r="F150" s="17" t="s">
        <v>58</v>
      </c>
      <c r="G150" s="19" t="s">
        <v>74</v>
      </c>
      <c r="H150" s="18">
        <v>15.333333333333332</v>
      </c>
      <c r="I150" s="17" t="s">
        <v>133</v>
      </c>
      <c r="J150" s="17" t="s">
        <v>833</v>
      </c>
      <c r="K150" s="17"/>
      <c r="L150" s="17"/>
      <c r="M150" s="16" t="str">
        <f>HYPERLINK("http://slimages.macys.com/is/image/MCY/19305903 ")</f>
        <v xml:space="preserve">http://slimages.macys.com/is/image/MCY/19305903 </v>
      </c>
      <c r="N150" s="30"/>
    </row>
    <row r="151" spans="1:14" ht="60" x14ac:dyDescent="0.25">
      <c r="A151" s="19" t="s">
        <v>1223</v>
      </c>
      <c r="B151" s="17" t="s">
        <v>1222</v>
      </c>
      <c r="C151" s="20">
        <v>1</v>
      </c>
      <c r="D151" s="18">
        <v>79.5</v>
      </c>
      <c r="E151" s="20" t="s">
        <v>1221</v>
      </c>
      <c r="F151" s="17" t="s">
        <v>91</v>
      </c>
      <c r="G151" s="19" t="s">
        <v>351</v>
      </c>
      <c r="H151" s="18">
        <v>15.106666666666667</v>
      </c>
      <c r="I151" s="17" t="s">
        <v>540</v>
      </c>
      <c r="J151" s="17" t="s">
        <v>105</v>
      </c>
      <c r="K151" s="17"/>
      <c r="L151" s="17"/>
      <c r="M151" s="16" t="str">
        <f>HYPERLINK("http://slimages.macys.com/is/image/MCY/18889535 ")</f>
        <v xml:space="preserve">http://slimages.macys.com/is/image/MCY/18889535 </v>
      </c>
      <c r="N151" s="30"/>
    </row>
    <row r="152" spans="1:14" ht="60" x14ac:dyDescent="0.25">
      <c r="A152" s="19" t="s">
        <v>1220</v>
      </c>
      <c r="B152" s="17" t="s">
        <v>1219</v>
      </c>
      <c r="C152" s="20">
        <v>1</v>
      </c>
      <c r="D152" s="18">
        <v>79.5</v>
      </c>
      <c r="E152" s="20" t="s">
        <v>1218</v>
      </c>
      <c r="F152" s="17" t="s">
        <v>216</v>
      </c>
      <c r="G152" s="19" t="s">
        <v>749</v>
      </c>
      <c r="H152" s="18">
        <v>14.973333333333334</v>
      </c>
      <c r="I152" s="17" t="s">
        <v>68</v>
      </c>
      <c r="J152" s="17" t="s">
        <v>67</v>
      </c>
      <c r="K152" s="17"/>
      <c r="L152" s="17"/>
      <c r="M152" s="16" t="str">
        <f>HYPERLINK("http://slimages.macys.com/is/image/MCY/18071860 ")</f>
        <v xml:space="preserve">http://slimages.macys.com/is/image/MCY/18071860 </v>
      </c>
      <c r="N152" s="30"/>
    </row>
    <row r="153" spans="1:14" ht="60" x14ac:dyDescent="0.25">
      <c r="A153" s="19" t="s">
        <v>1217</v>
      </c>
      <c r="B153" s="17" t="s">
        <v>1216</v>
      </c>
      <c r="C153" s="20">
        <v>1</v>
      </c>
      <c r="D153" s="18">
        <v>59.25</v>
      </c>
      <c r="E153" s="20">
        <v>10661187</v>
      </c>
      <c r="F153" s="17" t="s">
        <v>51</v>
      </c>
      <c r="G153" s="19" t="s">
        <v>874</v>
      </c>
      <c r="H153" s="18">
        <v>14.933333333333335</v>
      </c>
      <c r="I153" s="17" t="s">
        <v>33</v>
      </c>
      <c r="J153" s="17" t="s">
        <v>143</v>
      </c>
      <c r="K153" s="17" t="s">
        <v>389</v>
      </c>
      <c r="L153" s="17" t="s">
        <v>662</v>
      </c>
      <c r="M153" s="16" t="str">
        <f>HYPERLINK("http://slimages.macys.com/is/image/MCY/9020267 ")</f>
        <v xml:space="preserve">http://slimages.macys.com/is/image/MCY/9020267 </v>
      </c>
      <c r="N153" s="30"/>
    </row>
    <row r="154" spans="1:14" ht="84" x14ac:dyDescent="0.25">
      <c r="A154" s="19" t="s">
        <v>1215</v>
      </c>
      <c r="B154" s="17" t="s">
        <v>1214</v>
      </c>
      <c r="C154" s="20">
        <v>1</v>
      </c>
      <c r="D154" s="18">
        <v>59.25</v>
      </c>
      <c r="E154" s="20">
        <v>10677867</v>
      </c>
      <c r="F154" s="17" t="s">
        <v>51</v>
      </c>
      <c r="G154" s="19" t="s">
        <v>644</v>
      </c>
      <c r="H154" s="18">
        <v>14.933333333333335</v>
      </c>
      <c r="I154" s="17" t="s">
        <v>33</v>
      </c>
      <c r="J154" s="17" t="s">
        <v>143</v>
      </c>
      <c r="K154" s="17" t="s">
        <v>389</v>
      </c>
      <c r="L154" s="17" t="s">
        <v>1154</v>
      </c>
      <c r="M154" s="16" t="str">
        <f>HYPERLINK("http://slimages.macys.com/is/image/MCY/9441614 ")</f>
        <v xml:space="preserve">http://slimages.macys.com/is/image/MCY/9441614 </v>
      </c>
      <c r="N154" s="30"/>
    </row>
    <row r="155" spans="1:14" ht="60" x14ac:dyDescent="0.25">
      <c r="A155" s="19" t="s">
        <v>1213</v>
      </c>
      <c r="B155" s="17" t="s">
        <v>1212</v>
      </c>
      <c r="C155" s="20">
        <v>1</v>
      </c>
      <c r="D155" s="18">
        <v>89</v>
      </c>
      <c r="E155" s="20">
        <v>10555634</v>
      </c>
      <c r="F155" s="17" t="s">
        <v>51</v>
      </c>
      <c r="G155" s="19" t="s">
        <v>749</v>
      </c>
      <c r="H155" s="18">
        <v>14.833333333333334</v>
      </c>
      <c r="I155" s="17" t="s">
        <v>144</v>
      </c>
      <c r="J155" s="17" t="s">
        <v>1211</v>
      </c>
      <c r="K155" s="17" t="s">
        <v>389</v>
      </c>
      <c r="L155" s="17" t="s">
        <v>1167</v>
      </c>
      <c r="M155" s="16" t="str">
        <f>HYPERLINK("http://slimages.macys.com/is/image/MCY/3450800 ")</f>
        <v xml:space="preserve">http://slimages.macys.com/is/image/MCY/3450800 </v>
      </c>
      <c r="N155" s="30"/>
    </row>
    <row r="156" spans="1:14" ht="60" x14ac:dyDescent="0.25">
      <c r="A156" s="19" t="s">
        <v>1210</v>
      </c>
      <c r="B156" s="17" t="s">
        <v>1209</v>
      </c>
      <c r="C156" s="20">
        <v>1</v>
      </c>
      <c r="D156" s="18">
        <v>89</v>
      </c>
      <c r="E156" s="20">
        <v>7031719</v>
      </c>
      <c r="F156" s="17" t="s">
        <v>58</v>
      </c>
      <c r="G156" s="19" t="s">
        <v>62</v>
      </c>
      <c r="H156" s="18">
        <v>14.833333333333334</v>
      </c>
      <c r="I156" s="17" t="s">
        <v>111</v>
      </c>
      <c r="J156" s="17" t="s">
        <v>110</v>
      </c>
      <c r="K156" s="17"/>
      <c r="L156" s="17"/>
      <c r="M156" s="16" t="str">
        <f>HYPERLINK("http://slimages.macys.com/is/image/MCY/19457712 ")</f>
        <v xml:space="preserve">http://slimages.macys.com/is/image/MCY/19457712 </v>
      </c>
      <c r="N156" s="30"/>
    </row>
    <row r="157" spans="1:14" ht="60" x14ac:dyDescent="0.25">
      <c r="A157" s="19" t="s">
        <v>1208</v>
      </c>
      <c r="B157" s="17" t="s">
        <v>1207</v>
      </c>
      <c r="C157" s="20">
        <v>5</v>
      </c>
      <c r="D157" s="18">
        <v>65</v>
      </c>
      <c r="E157" s="20" t="s">
        <v>1199</v>
      </c>
      <c r="F157" s="17" t="s">
        <v>28</v>
      </c>
      <c r="G157" s="19" t="s">
        <v>62</v>
      </c>
      <c r="H157" s="18">
        <v>14.666666666666668</v>
      </c>
      <c r="I157" s="17" t="s">
        <v>133</v>
      </c>
      <c r="J157" s="17" t="s">
        <v>833</v>
      </c>
      <c r="K157" s="17"/>
      <c r="L157" s="17"/>
      <c r="M157" s="16" t="str">
        <f>HYPERLINK("http://slimages.macys.com/is/image/MCY/19305730 ")</f>
        <v xml:space="preserve">http://slimages.macys.com/is/image/MCY/19305730 </v>
      </c>
      <c r="N157" s="30"/>
    </row>
    <row r="158" spans="1:14" ht="60" x14ac:dyDescent="0.25">
      <c r="A158" s="19" t="s">
        <v>1206</v>
      </c>
      <c r="B158" s="17" t="s">
        <v>1205</v>
      </c>
      <c r="C158" s="20">
        <v>5</v>
      </c>
      <c r="D158" s="18">
        <v>65</v>
      </c>
      <c r="E158" s="20" t="s">
        <v>1204</v>
      </c>
      <c r="F158" s="17" t="s">
        <v>206</v>
      </c>
      <c r="G158" s="19" t="s">
        <v>74</v>
      </c>
      <c r="H158" s="18">
        <v>14.666666666666668</v>
      </c>
      <c r="I158" s="17" t="s">
        <v>133</v>
      </c>
      <c r="J158" s="17" t="s">
        <v>833</v>
      </c>
      <c r="K158" s="17"/>
      <c r="L158" s="17"/>
      <c r="M158" s="16" t="str">
        <f>HYPERLINK("http://slimages.macys.com/is/image/MCY/19305671 ")</f>
        <v xml:space="preserve">http://slimages.macys.com/is/image/MCY/19305671 </v>
      </c>
      <c r="N158" s="30"/>
    </row>
    <row r="159" spans="1:14" ht="60" x14ac:dyDescent="0.25">
      <c r="A159" s="19" t="s">
        <v>1203</v>
      </c>
      <c r="B159" s="17" t="s">
        <v>1202</v>
      </c>
      <c r="C159" s="20">
        <v>9</v>
      </c>
      <c r="D159" s="18">
        <v>65</v>
      </c>
      <c r="E159" s="20" t="s">
        <v>1199</v>
      </c>
      <c r="F159" s="17" t="s">
        <v>28</v>
      </c>
      <c r="G159" s="19" t="s">
        <v>69</v>
      </c>
      <c r="H159" s="18">
        <v>14.666666666666668</v>
      </c>
      <c r="I159" s="17" t="s">
        <v>133</v>
      </c>
      <c r="J159" s="17" t="s">
        <v>833</v>
      </c>
      <c r="K159" s="17"/>
      <c r="L159" s="17"/>
      <c r="M159" s="16" t="str">
        <f>HYPERLINK("http://slimages.macys.com/is/image/MCY/19305730 ")</f>
        <v xml:space="preserve">http://slimages.macys.com/is/image/MCY/19305730 </v>
      </c>
      <c r="N159" s="30"/>
    </row>
    <row r="160" spans="1:14" ht="60" x14ac:dyDescent="0.25">
      <c r="A160" s="19" t="s">
        <v>1201</v>
      </c>
      <c r="B160" s="17" t="s">
        <v>1200</v>
      </c>
      <c r="C160" s="20">
        <v>4</v>
      </c>
      <c r="D160" s="18">
        <v>65</v>
      </c>
      <c r="E160" s="20" t="s">
        <v>1199</v>
      </c>
      <c r="F160" s="17" t="s">
        <v>28</v>
      </c>
      <c r="G160" s="19" t="s">
        <v>74</v>
      </c>
      <c r="H160" s="18">
        <v>14.666666666666668</v>
      </c>
      <c r="I160" s="17" t="s">
        <v>133</v>
      </c>
      <c r="J160" s="17" t="s">
        <v>833</v>
      </c>
      <c r="K160" s="17"/>
      <c r="L160" s="17"/>
      <c r="M160" s="16" t="str">
        <f>HYPERLINK("http://slimages.macys.com/is/image/MCY/19305730 ")</f>
        <v xml:space="preserve">http://slimages.macys.com/is/image/MCY/19305730 </v>
      </c>
      <c r="N160" s="30"/>
    </row>
    <row r="161" spans="1:14" ht="60" x14ac:dyDescent="0.25">
      <c r="A161" s="19" t="s">
        <v>1198</v>
      </c>
      <c r="B161" s="17" t="s">
        <v>1197</v>
      </c>
      <c r="C161" s="20">
        <v>1</v>
      </c>
      <c r="D161" s="18">
        <v>66.75</v>
      </c>
      <c r="E161" s="20" t="s">
        <v>1196</v>
      </c>
      <c r="F161" s="17" t="s">
        <v>23</v>
      </c>
      <c r="G161" s="19" t="s">
        <v>669</v>
      </c>
      <c r="H161" s="18">
        <v>14.573333333333334</v>
      </c>
      <c r="I161" s="17" t="s">
        <v>33</v>
      </c>
      <c r="J161" s="17" t="s">
        <v>32</v>
      </c>
      <c r="K161" s="17"/>
      <c r="L161" s="17"/>
      <c r="M161" s="16" t="str">
        <f>HYPERLINK("http://slimages.macys.com/is/image/MCY/18991388 ")</f>
        <v xml:space="preserve">http://slimages.macys.com/is/image/MCY/18991388 </v>
      </c>
      <c r="N161" s="30"/>
    </row>
    <row r="162" spans="1:14" ht="60" x14ac:dyDescent="0.25">
      <c r="A162" s="19" t="s">
        <v>1195</v>
      </c>
      <c r="B162" s="17" t="s">
        <v>1194</v>
      </c>
      <c r="C162" s="20">
        <v>1</v>
      </c>
      <c r="D162" s="18">
        <v>99</v>
      </c>
      <c r="E162" s="20">
        <v>2321706</v>
      </c>
      <c r="F162" s="17" t="s">
        <v>91</v>
      </c>
      <c r="G162" s="19" t="s">
        <v>22</v>
      </c>
      <c r="H162" s="18">
        <v>14.52</v>
      </c>
      <c r="I162" s="17" t="s">
        <v>80</v>
      </c>
      <c r="J162" s="17" t="s">
        <v>293</v>
      </c>
      <c r="K162" s="17"/>
      <c r="L162" s="17"/>
      <c r="M162" s="16" t="str">
        <f>HYPERLINK("http://slimages.macys.com/is/image/MCY/18750336 ")</f>
        <v xml:space="preserve">http://slimages.macys.com/is/image/MCY/18750336 </v>
      </c>
      <c r="N162" s="30"/>
    </row>
    <row r="163" spans="1:14" ht="60" x14ac:dyDescent="0.25">
      <c r="A163" s="19" t="s">
        <v>1193</v>
      </c>
      <c r="B163" s="17" t="s">
        <v>1192</v>
      </c>
      <c r="C163" s="20">
        <v>1</v>
      </c>
      <c r="D163" s="18">
        <v>59.25</v>
      </c>
      <c r="E163" s="20">
        <v>10735730</v>
      </c>
      <c r="F163" s="17" t="s">
        <v>544</v>
      </c>
      <c r="G163" s="19" t="s">
        <v>1191</v>
      </c>
      <c r="H163" s="18">
        <v>14.493333333333334</v>
      </c>
      <c r="I163" s="17" t="s">
        <v>358</v>
      </c>
      <c r="J163" s="17" t="s">
        <v>143</v>
      </c>
      <c r="K163" s="17"/>
      <c r="L163" s="17"/>
      <c r="M163" s="16" t="str">
        <f>HYPERLINK("http://slimages.macys.com/is/image/MCY/19486565 ")</f>
        <v xml:space="preserve">http://slimages.macys.com/is/image/MCY/19486565 </v>
      </c>
      <c r="N163" s="30"/>
    </row>
    <row r="164" spans="1:14" ht="60" x14ac:dyDescent="0.25">
      <c r="A164" s="19" t="s">
        <v>1190</v>
      </c>
      <c r="B164" s="17" t="s">
        <v>1189</v>
      </c>
      <c r="C164" s="20">
        <v>2</v>
      </c>
      <c r="D164" s="18">
        <v>59</v>
      </c>
      <c r="E164" s="20" t="s">
        <v>1188</v>
      </c>
      <c r="F164" s="17" t="s">
        <v>345</v>
      </c>
      <c r="G164" s="19" t="s">
        <v>57</v>
      </c>
      <c r="H164" s="18">
        <v>14.160000000000002</v>
      </c>
      <c r="I164" s="17" t="s">
        <v>133</v>
      </c>
      <c r="J164" s="17" t="s">
        <v>829</v>
      </c>
      <c r="K164" s="17"/>
      <c r="L164" s="17"/>
      <c r="M164" s="16" t="str">
        <f>HYPERLINK("http://slimages.macys.com/is/image/MCY/19481681 ")</f>
        <v xml:space="preserve">http://slimages.macys.com/is/image/MCY/19481681 </v>
      </c>
      <c r="N164" s="30"/>
    </row>
    <row r="165" spans="1:14" ht="60" x14ac:dyDescent="0.25">
      <c r="A165" s="19" t="s">
        <v>1187</v>
      </c>
      <c r="B165" s="17" t="s">
        <v>1186</v>
      </c>
      <c r="C165" s="20">
        <v>6</v>
      </c>
      <c r="D165" s="18">
        <v>58</v>
      </c>
      <c r="E165" s="20" t="s">
        <v>1178</v>
      </c>
      <c r="F165" s="17" t="s">
        <v>345</v>
      </c>
      <c r="G165" s="19" t="s">
        <v>62</v>
      </c>
      <c r="H165" s="18">
        <v>14.000000000000002</v>
      </c>
      <c r="I165" s="17" t="s">
        <v>133</v>
      </c>
      <c r="J165" s="17" t="s">
        <v>833</v>
      </c>
      <c r="K165" s="17"/>
      <c r="L165" s="17"/>
      <c r="M165" s="16" t="str">
        <f>HYPERLINK("http://slimages.macys.com/is/image/MCY/19305936 ")</f>
        <v xml:space="preserve">http://slimages.macys.com/is/image/MCY/19305936 </v>
      </c>
      <c r="N165" s="30"/>
    </row>
    <row r="166" spans="1:14" ht="60" x14ac:dyDescent="0.25">
      <c r="A166" s="19" t="s">
        <v>1185</v>
      </c>
      <c r="B166" s="17" t="s">
        <v>1184</v>
      </c>
      <c r="C166" s="20">
        <v>4</v>
      </c>
      <c r="D166" s="18">
        <v>58</v>
      </c>
      <c r="E166" s="20" t="s">
        <v>1178</v>
      </c>
      <c r="F166" s="17" t="s">
        <v>345</v>
      </c>
      <c r="G166" s="19" t="s">
        <v>74</v>
      </c>
      <c r="H166" s="18">
        <v>14.000000000000002</v>
      </c>
      <c r="I166" s="17" t="s">
        <v>133</v>
      </c>
      <c r="J166" s="17" t="s">
        <v>833</v>
      </c>
      <c r="K166" s="17"/>
      <c r="L166" s="17"/>
      <c r="M166" s="16" t="str">
        <f>HYPERLINK("http://slimages.macys.com/is/image/MCY/19305936 ")</f>
        <v xml:space="preserve">http://slimages.macys.com/is/image/MCY/19305936 </v>
      </c>
      <c r="N166" s="30"/>
    </row>
    <row r="167" spans="1:14" ht="60" x14ac:dyDescent="0.25">
      <c r="A167" s="19" t="s">
        <v>1183</v>
      </c>
      <c r="B167" s="17" t="s">
        <v>1182</v>
      </c>
      <c r="C167" s="20">
        <v>5</v>
      </c>
      <c r="D167" s="18">
        <v>58</v>
      </c>
      <c r="E167" s="20" t="s">
        <v>1181</v>
      </c>
      <c r="F167" s="17" t="s">
        <v>345</v>
      </c>
      <c r="G167" s="19" t="s">
        <v>74</v>
      </c>
      <c r="H167" s="18">
        <v>14.000000000000002</v>
      </c>
      <c r="I167" s="17" t="s">
        <v>133</v>
      </c>
      <c r="J167" s="17" t="s">
        <v>833</v>
      </c>
      <c r="K167" s="17"/>
      <c r="L167" s="17"/>
      <c r="M167" s="16" t="str">
        <f>HYPERLINK("http://slimages.macys.com/is/image/MCY/19305645 ")</f>
        <v xml:space="preserve">http://slimages.macys.com/is/image/MCY/19305645 </v>
      </c>
      <c r="N167" s="30"/>
    </row>
    <row r="168" spans="1:14" ht="60" x14ac:dyDescent="0.25">
      <c r="A168" s="19" t="s">
        <v>1180</v>
      </c>
      <c r="B168" s="17" t="s">
        <v>1179</v>
      </c>
      <c r="C168" s="20">
        <v>2</v>
      </c>
      <c r="D168" s="18">
        <v>58</v>
      </c>
      <c r="E168" s="20" t="s">
        <v>1178</v>
      </c>
      <c r="F168" s="17" t="s">
        <v>345</v>
      </c>
      <c r="G168" s="19" t="s">
        <v>69</v>
      </c>
      <c r="H168" s="18">
        <v>14.000000000000002</v>
      </c>
      <c r="I168" s="17" t="s">
        <v>133</v>
      </c>
      <c r="J168" s="17" t="s">
        <v>833</v>
      </c>
      <c r="K168" s="17"/>
      <c r="L168" s="17"/>
      <c r="M168" s="16" t="str">
        <f>HYPERLINK("http://slimages.macys.com/is/image/MCY/19305936 ")</f>
        <v xml:space="preserve">http://slimages.macys.com/is/image/MCY/19305936 </v>
      </c>
      <c r="N168" s="30"/>
    </row>
    <row r="169" spans="1:14" ht="60" x14ac:dyDescent="0.25">
      <c r="A169" s="19" t="s">
        <v>1177</v>
      </c>
      <c r="B169" s="17" t="s">
        <v>1176</v>
      </c>
      <c r="C169" s="20">
        <v>2</v>
      </c>
      <c r="D169" s="18">
        <v>58</v>
      </c>
      <c r="E169" s="20" t="s">
        <v>1173</v>
      </c>
      <c r="F169" s="17" t="s">
        <v>734</v>
      </c>
      <c r="G169" s="19" t="s">
        <v>57</v>
      </c>
      <c r="H169" s="18">
        <v>13.799999999999999</v>
      </c>
      <c r="I169" s="17" t="s">
        <v>133</v>
      </c>
      <c r="J169" s="17" t="s">
        <v>132</v>
      </c>
      <c r="K169" s="17"/>
      <c r="L169" s="17"/>
      <c r="M169" s="16" t="str">
        <f>HYPERLINK("http://slimages.macys.com/is/image/MCY/19367257 ")</f>
        <v xml:space="preserve">http://slimages.macys.com/is/image/MCY/19367257 </v>
      </c>
      <c r="N169" s="30"/>
    </row>
    <row r="170" spans="1:14" ht="60" x14ac:dyDescent="0.25">
      <c r="A170" s="19" t="s">
        <v>1175</v>
      </c>
      <c r="B170" s="17" t="s">
        <v>1174</v>
      </c>
      <c r="C170" s="20">
        <v>2</v>
      </c>
      <c r="D170" s="18">
        <v>58</v>
      </c>
      <c r="E170" s="20" t="s">
        <v>1173</v>
      </c>
      <c r="F170" s="17" t="s">
        <v>734</v>
      </c>
      <c r="G170" s="19" t="s">
        <v>74</v>
      </c>
      <c r="H170" s="18">
        <v>13.799999999999999</v>
      </c>
      <c r="I170" s="17" t="s">
        <v>133</v>
      </c>
      <c r="J170" s="17" t="s">
        <v>132</v>
      </c>
      <c r="K170" s="17"/>
      <c r="L170" s="17"/>
      <c r="M170" s="16" t="str">
        <f>HYPERLINK("http://slimages.macys.com/is/image/MCY/19367257 ")</f>
        <v xml:space="preserve">http://slimages.macys.com/is/image/MCY/19367257 </v>
      </c>
      <c r="N170" s="30"/>
    </row>
    <row r="171" spans="1:14" ht="60" x14ac:dyDescent="0.25">
      <c r="A171" s="19" t="s">
        <v>1172</v>
      </c>
      <c r="B171" s="17" t="s">
        <v>1171</v>
      </c>
      <c r="C171" s="20">
        <v>1</v>
      </c>
      <c r="D171" s="18">
        <v>57</v>
      </c>
      <c r="E171" s="20" t="s">
        <v>1170</v>
      </c>
      <c r="F171" s="17" t="s">
        <v>575</v>
      </c>
      <c r="G171" s="19" t="s">
        <v>69</v>
      </c>
      <c r="H171" s="18">
        <v>13.680000000000001</v>
      </c>
      <c r="I171" s="17" t="s">
        <v>133</v>
      </c>
      <c r="J171" s="17" t="s">
        <v>829</v>
      </c>
      <c r="K171" s="17"/>
      <c r="L171" s="17"/>
      <c r="M171" s="16" t="str">
        <f>HYPERLINK("http://slimages.macys.com/is/image/MCY/19481721 ")</f>
        <v xml:space="preserve">http://slimages.macys.com/is/image/MCY/19481721 </v>
      </c>
      <c r="N171" s="30"/>
    </row>
    <row r="172" spans="1:14" ht="60" x14ac:dyDescent="0.25">
      <c r="A172" s="19" t="s">
        <v>1169</v>
      </c>
      <c r="B172" s="17" t="s">
        <v>1168</v>
      </c>
      <c r="C172" s="20">
        <v>1</v>
      </c>
      <c r="D172" s="18">
        <v>69</v>
      </c>
      <c r="E172" s="20">
        <v>10551766</v>
      </c>
      <c r="F172" s="17" t="s">
        <v>51</v>
      </c>
      <c r="G172" s="19" t="s">
        <v>857</v>
      </c>
      <c r="H172" s="18">
        <v>13.34</v>
      </c>
      <c r="I172" s="17" t="s">
        <v>144</v>
      </c>
      <c r="J172" s="17" t="s">
        <v>143</v>
      </c>
      <c r="K172" s="17" t="s">
        <v>389</v>
      </c>
      <c r="L172" s="17" t="s">
        <v>1167</v>
      </c>
      <c r="M172" s="16" t="str">
        <f>HYPERLINK("http://slimages.macys.com/is/image/MCY/2659502 ")</f>
        <v xml:space="preserve">http://slimages.macys.com/is/image/MCY/2659502 </v>
      </c>
      <c r="N172" s="30"/>
    </row>
    <row r="173" spans="1:14" ht="60" x14ac:dyDescent="0.25">
      <c r="A173" s="19" t="s">
        <v>1166</v>
      </c>
      <c r="B173" s="17" t="s">
        <v>1165</v>
      </c>
      <c r="C173" s="20">
        <v>1</v>
      </c>
      <c r="D173" s="18">
        <v>69</v>
      </c>
      <c r="E173" s="20" t="s">
        <v>1164</v>
      </c>
      <c r="F173" s="17" t="s">
        <v>282</v>
      </c>
      <c r="G173" s="19"/>
      <c r="H173" s="18">
        <v>13.333333333333334</v>
      </c>
      <c r="I173" s="17" t="s">
        <v>550</v>
      </c>
      <c r="J173" s="17" t="s">
        <v>1163</v>
      </c>
      <c r="K173" s="17"/>
      <c r="L173" s="17"/>
      <c r="M173" s="16" t="str">
        <f>HYPERLINK("http://slimages.macys.com/is/image/MCY/18241862 ")</f>
        <v xml:space="preserve">http://slimages.macys.com/is/image/MCY/18241862 </v>
      </c>
      <c r="N173" s="30"/>
    </row>
    <row r="174" spans="1:14" ht="60" x14ac:dyDescent="0.25">
      <c r="A174" s="19" t="s">
        <v>1162</v>
      </c>
      <c r="B174" s="17" t="s">
        <v>1161</v>
      </c>
      <c r="C174" s="20">
        <v>1</v>
      </c>
      <c r="D174" s="18">
        <v>69.5</v>
      </c>
      <c r="E174" s="20" t="s">
        <v>1160</v>
      </c>
      <c r="F174" s="17" t="s">
        <v>91</v>
      </c>
      <c r="G174" s="19" t="s">
        <v>74</v>
      </c>
      <c r="H174" s="18">
        <v>13.086666666666668</v>
      </c>
      <c r="I174" s="17" t="s">
        <v>68</v>
      </c>
      <c r="J174" s="17" t="s">
        <v>67</v>
      </c>
      <c r="K174" s="17"/>
      <c r="L174" s="17"/>
      <c r="M174" s="16" t="str">
        <f>HYPERLINK("http://slimages.macys.com/is/image/MCY/19744652 ")</f>
        <v xml:space="preserve">http://slimages.macys.com/is/image/MCY/19744652 </v>
      </c>
      <c r="N174" s="30"/>
    </row>
    <row r="175" spans="1:14" ht="60" x14ac:dyDescent="0.25">
      <c r="A175" s="19" t="s">
        <v>1159</v>
      </c>
      <c r="B175" s="17" t="s">
        <v>1158</v>
      </c>
      <c r="C175" s="20">
        <v>1</v>
      </c>
      <c r="D175" s="18">
        <v>69.5</v>
      </c>
      <c r="E175" s="20" t="s">
        <v>452</v>
      </c>
      <c r="F175" s="17" t="s">
        <v>282</v>
      </c>
      <c r="G175" s="19" t="s">
        <v>197</v>
      </c>
      <c r="H175" s="18">
        <v>13.086666666666668</v>
      </c>
      <c r="I175" s="17" t="s">
        <v>56</v>
      </c>
      <c r="J175" s="17" t="s">
        <v>55</v>
      </c>
      <c r="K175" s="17"/>
      <c r="L175" s="17"/>
      <c r="M175" s="16" t="str">
        <f>HYPERLINK("http://slimages.macys.com/is/image/MCY/19395484 ")</f>
        <v xml:space="preserve">http://slimages.macys.com/is/image/MCY/19395484 </v>
      </c>
      <c r="N175" s="30"/>
    </row>
    <row r="176" spans="1:14" ht="60" x14ac:dyDescent="0.25">
      <c r="A176" s="19" t="s">
        <v>454</v>
      </c>
      <c r="B176" s="17" t="s">
        <v>453</v>
      </c>
      <c r="C176" s="20">
        <v>1</v>
      </c>
      <c r="D176" s="18">
        <v>69.5</v>
      </c>
      <c r="E176" s="20" t="s">
        <v>452</v>
      </c>
      <c r="F176" s="17" t="s">
        <v>282</v>
      </c>
      <c r="G176" s="19" t="s">
        <v>74</v>
      </c>
      <c r="H176" s="18">
        <v>13.086666666666668</v>
      </c>
      <c r="I176" s="17" t="s">
        <v>56</v>
      </c>
      <c r="J176" s="17" t="s">
        <v>55</v>
      </c>
      <c r="K176" s="17"/>
      <c r="L176" s="17"/>
      <c r="M176" s="16" t="str">
        <f>HYPERLINK("http://slimages.macys.com/is/image/MCY/19395484 ")</f>
        <v xml:space="preserve">http://slimages.macys.com/is/image/MCY/19395484 </v>
      </c>
      <c r="N176" s="30"/>
    </row>
    <row r="177" spans="1:14" ht="84" x14ac:dyDescent="0.25">
      <c r="A177" s="19" t="s">
        <v>1157</v>
      </c>
      <c r="B177" s="17" t="s">
        <v>1156</v>
      </c>
      <c r="C177" s="20">
        <v>1</v>
      </c>
      <c r="D177" s="18">
        <v>51.75</v>
      </c>
      <c r="E177" s="20">
        <v>10716009</v>
      </c>
      <c r="F177" s="17" t="s">
        <v>623</v>
      </c>
      <c r="G177" s="19" t="s">
        <v>1155</v>
      </c>
      <c r="H177" s="18">
        <v>13.040000000000001</v>
      </c>
      <c r="I177" s="17" t="s">
        <v>33</v>
      </c>
      <c r="J177" s="17" t="s">
        <v>143</v>
      </c>
      <c r="K177" s="17" t="s">
        <v>389</v>
      </c>
      <c r="L177" s="17" t="s">
        <v>1154</v>
      </c>
      <c r="M177" s="16" t="str">
        <f>HYPERLINK("http://slimages.macys.com/is/image/MCY/11711160 ")</f>
        <v xml:space="preserve">http://slimages.macys.com/is/image/MCY/11711160 </v>
      </c>
      <c r="N177" s="30"/>
    </row>
    <row r="178" spans="1:14" ht="60" x14ac:dyDescent="0.25">
      <c r="A178" s="19" t="s">
        <v>1153</v>
      </c>
      <c r="B178" s="17" t="s">
        <v>1152</v>
      </c>
      <c r="C178" s="20">
        <v>1</v>
      </c>
      <c r="D178" s="18">
        <v>51.75</v>
      </c>
      <c r="E178" s="20" t="s">
        <v>1144</v>
      </c>
      <c r="F178" s="17" t="s">
        <v>272</v>
      </c>
      <c r="G178" s="19" t="s">
        <v>139</v>
      </c>
      <c r="H178" s="18">
        <v>13.020000000000001</v>
      </c>
      <c r="I178" s="17" t="s">
        <v>358</v>
      </c>
      <c r="J178" s="17" t="s">
        <v>32</v>
      </c>
      <c r="K178" s="17"/>
      <c r="L178" s="17"/>
      <c r="M178" s="16" t="str">
        <f>HYPERLINK("http://slimages.macys.com/is/image/MCY/19728027 ")</f>
        <v xml:space="preserve">http://slimages.macys.com/is/image/MCY/19728027 </v>
      </c>
      <c r="N178" s="30"/>
    </row>
    <row r="179" spans="1:14" ht="60" x14ac:dyDescent="0.25">
      <c r="A179" s="19" t="s">
        <v>1151</v>
      </c>
      <c r="B179" s="17" t="s">
        <v>1150</v>
      </c>
      <c r="C179" s="20">
        <v>1</v>
      </c>
      <c r="D179" s="18">
        <v>51.75</v>
      </c>
      <c r="E179" s="20" t="s">
        <v>1144</v>
      </c>
      <c r="F179" s="17" t="s">
        <v>272</v>
      </c>
      <c r="G179" s="19" t="s">
        <v>351</v>
      </c>
      <c r="H179" s="18">
        <v>13.020000000000001</v>
      </c>
      <c r="I179" s="17" t="s">
        <v>358</v>
      </c>
      <c r="J179" s="17" t="s">
        <v>32</v>
      </c>
      <c r="K179" s="17"/>
      <c r="L179" s="17"/>
      <c r="M179" s="16" t="str">
        <f>HYPERLINK("http://slimages.macys.com/is/image/MCY/19728027 ")</f>
        <v xml:space="preserve">http://slimages.macys.com/is/image/MCY/19728027 </v>
      </c>
      <c r="N179" s="30"/>
    </row>
    <row r="180" spans="1:14" ht="60" x14ac:dyDescent="0.25">
      <c r="A180" s="19" t="s">
        <v>1149</v>
      </c>
      <c r="B180" s="17" t="s">
        <v>1148</v>
      </c>
      <c r="C180" s="20">
        <v>4</v>
      </c>
      <c r="D180" s="18">
        <v>59</v>
      </c>
      <c r="E180" s="20" t="s">
        <v>1147</v>
      </c>
      <c r="F180" s="17" t="s">
        <v>28</v>
      </c>
      <c r="G180" s="19" t="s">
        <v>101</v>
      </c>
      <c r="H180" s="18">
        <v>13.020000000000001</v>
      </c>
      <c r="I180" s="17" t="s">
        <v>49</v>
      </c>
      <c r="J180" s="17" t="s">
        <v>48</v>
      </c>
      <c r="K180" s="17"/>
      <c r="L180" s="17"/>
      <c r="M180" s="16" t="str">
        <f>HYPERLINK("http://slimages.macys.com/is/image/MCY/18750027 ")</f>
        <v xml:space="preserve">http://slimages.macys.com/is/image/MCY/18750027 </v>
      </c>
      <c r="N180" s="30"/>
    </row>
    <row r="181" spans="1:14" ht="60" x14ac:dyDescent="0.25">
      <c r="A181" s="19" t="s">
        <v>1146</v>
      </c>
      <c r="B181" s="17" t="s">
        <v>1145</v>
      </c>
      <c r="C181" s="20">
        <v>2</v>
      </c>
      <c r="D181" s="18">
        <v>51.75</v>
      </c>
      <c r="E181" s="20" t="s">
        <v>1144</v>
      </c>
      <c r="F181" s="17" t="s">
        <v>272</v>
      </c>
      <c r="G181" s="19" t="s">
        <v>271</v>
      </c>
      <c r="H181" s="18">
        <v>13.020000000000001</v>
      </c>
      <c r="I181" s="17" t="s">
        <v>358</v>
      </c>
      <c r="J181" s="17" t="s">
        <v>32</v>
      </c>
      <c r="K181" s="17"/>
      <c r="L181" s="17"/>
      <c r="M181" s="16" t="str">
        <f>HYPERLINK("http://slimages.macys.com/is/image/MCY/19728027 ")</f>
        <v xml:space="preserve">http://slimages.macys.com/is/image/MCY/19728027 </v>
      </c>
      <c r="N181" s="30"/>
    </row>
    <row r="182" spans="1:14" ht="60" x14ac:dyDescent="0.25">
      <c r="A182" s="19" t="s">
        <v>1143</v>
      </c>
      <c r="B182" s="17" t="s">
        <v>1142</v>
      </c>
      <c r="C182" s="20">
        <v>4</v>
      </c>
      <c r="D182" s="18">
        <v>59</v>
      </c>
      <c r="E182" s="20" t="s">
        <v>1141</v>
      </c>
      <c r="F182" s="17" t="s">
        <v>562</v>
      </c>
      <c r="G182" s="19" t="s">
        <v>1140</v>
      </c>
      <c r="H182" s="18">
        <v>13.013333333333334</v>
      </c>
      <c r="I182" s="17" t="s">
        <v>49</v>
      </c>
      <c r="J182" s="17" t="s">
        <v>48</v>
      </c>
      <c r="K182" s="17"/>
      <c r="L182" s="17"/>
      <c r="M182" s="16" t="str">
        <f>HYPERLINK("http://slimages.macys.com/is/image/MCY/19379573 ")</f>
        <v xml:space="preserve">http://slimages.macys.com/is/image/MCY/19379573 </v>
      </c>
      <c r="N182" s="30"/>
    </row>
    <row r="183" spans="1:14" ht="60" x14ac:dyDescent="0.25">
      <c r="A183" s="19" t="s">
        <v>1139</v>
      </c>
      <c r="B183" s="17" t="s">
        <v>1138</v>
      </c>
      <c r="C183" s="20">
        <v>1</v>
      </c>
      <c r="D183" s="18">
        <v>53.95</v>
      </c>
      <c r="E183" s="20" t="s">
        <v>1137</v>
      </c>
      <c r="F183" s="17" t="s">
        <v>282</v>
      </c>
      <c r="G183" s="19" t="s">
        <v>69</v>
      </c>
      <c r="H183" s="18">
        <v>13</v>
      </c>
      <c r="I183" s="17" t="s">
        <v>148</v>
      </c>
      <c r="J183" s="17" t="s">
        <v>1136</v>
      </c>
      <c r="K183" s="17"/>
      <c r="L183" s="17"/>
      <c r="M183" s="16" t="str">
        <f>HYPERLINK("http://slimages.macys.com/is/image/MCY/18676551 ")</f>
        <v xml:space="preserve">http://slimages.macys.com/is/image/MCY/18676551 </v>
      </c>
      <c r="N183" s="30"/>
    </row>
    <row r="184" spans="1:14" ht="60" x14ac:dyDescent="0.25">
      <c r="A184" s="19" t="s">
        <v>1135</v>
      </c>
      <c r="B184" s="17" t="s">
        <v>1134</v>
      </c>
      <c r="C184" s="20">
        <v>1</v>
      </c>
      <c r="D184" s="18">
        <v>69</v>
      </c>
      <c r="E184" s="20" t="s">
        <v>1133</v>
      </c>
      <c r="F184" s="17" t="s">
        <v>272</v>
      </c>
      <c r="G184" s="19" t="s">
        <v>57</v>
      </c>
      <c r="H184" s="18">
        <v>12.993333333333334</v>
      </c>
      <c r="I184" s="17" t="s">
        <v>56</v>
      </c>
      <c r="J184" s="17" t="s">
        <v>55</v>
      </c>
      <c r="K184" s="17" t="s">
        <v>389</v>
      </c>
      <c r="L184" s="17" t="s">
        <v>1129</v>
      </c>
      <c r="M184" s="16" t="str">
        <f>HYPERLINK("http://slimages.macys.com/is/image/MCY/13744269 ")</f>
        <v xml:space="preserve">http://slimages.macys.com/is/image/MCY/13744269 </v>
      </c>
      <c r="N184" s="30"/>
    </row>
    <row r="185" spans="1:14" ht="60" x14ac:dyDescent="0.25">
      <c r="A185" s="19" t="s">
        <v>1132</v>
      </c>
      <c r="B185" s="17" t="s">
        <v>1131</v>
      </c>
      <c r="C185" s="20">
        <v>1</v>
      </c>
      <c r="D185" s="18">
        <v>69</v>
      </c>
      <c r="E185" s="20" t="s">
        <v>1130</v>
      </c>
      <c r="F185" s="17" t="s">
        <v>91</v>
      </c>
      <c r="G185" s="19" t="s">
        <v>69</v>
      </c>
      <c r="H185" s="18">
        <v>12.993333333333334</v>
      </c>
      <c r="I185" s="17" t="s">
        <v>56</v>
      </c>
      <c r="J185" s="17" t="s">
        <v>55</v>
      </c>
      <c r="K185" s="17" t="s">
        <v>389</v>
      </c>
      <c r="L185" s="17" t="s">
        <v>1129</v>
      </c>
      <c r="M185" s="16" t="str">
        <f>HYPERLINK("http://slimages.macys.com/is/image/MCY/15870463 ")</f>
        <v xml:space="preserve">http://slimages.macys.com/is/image/MCY/15870463 </v>
      </c>
      <c r="N185" s="30"/>
    </row>
    <row r="186" spans="1:14" ht="60" x14ac:dyDescent="0.25">
      <c r="A186" s="19" t="s">
        <v>1128</v>
      </c>
      <c r="B186" s="17" t="s">
        <v>1127</v>
      </c>
      <c r="C186" s="20">
        <v>1</v>
      </c>
      <c r="D186" s="18">
        <v>69</v>
      </c>
      <c r="E186" s="20" t="s">
        <v>1126</v>
      </c>
      <c r="F186" s="17" t="s">
        <v>575</v>
      </c>
      <c r="G186" s="19" t="s">
        <v>857</v>
      </c>
      <c r="H186" s="18">
        <v>12.88</v>
      </c>
      <c r="I186" s="17" t="s">
        <v>820</v>
      </c>
      <c r="J186" s="17" t="s">
        <v>67</v>
      </c>
      <c r="K186" s="17"/>
      <c r="L186" s="17"/>
      <c r="M186" s="16" t="str">
        <f>HYPERLINK("http://slimages.macys.com/is/image/MCY/3761197 ")</f>
        <v xml:space="preserve">http://slimages.macys.com/is/image/MCY/3761197 </v>
      </c>
      <c r="N186" s="30"/>
    </row>
    <row r="187" spans="1:14" ht="60" x14ac:dyDescent="0.25">
      <c r="A187" s="19" t="s">
        <v>1125</v>
      </c>
      <c r="B187" s="17" t="s">
        <v>1124</v>
      </c>
      <c r="C187" s="20">
        <v>1</v>
      </c>
      <c r="D187" s="18">
        <v>44.25</v>
      </c>
      <c r="E187" s="20">
        <v>10770229</v>
      </c>
      <c r="F187" s="17" t="s">
        <v>578</v>
      </c>
      <c r="G187" s="19"/>
      <c r="H187" s="18">
        <v>12.393333333333334</v>
      </c>
      <c r="I187" s="17" t="s">
        <v>33</v>
      </c>
      <c r="J187" s="17" t="s">
        <v>143</v>
      </c>
      <c r="K187" s="17"/>
      <c r="L187" s="17"/>
      <c r="M187" s="16" t="str">
        <f>HYPERLINK("http://slimages.macys.com/is/image/MCY/18601528 ")</f>
        <v xml:space="preserve">http://slimages.macys.com/is/image/MCY/18601528 </v>
      </c>
      <c r="N187" s="30"/>
    </row>
    <row r="188" spans="1:14" ht="60" x14ac:dyDescent="0.25">
      <c r="A188" s="19" t="s">
        <v>1123</v>
      </c>
      <c r="B188" s="17" t="s">
        <v>1122</v>
      </c>
      <c r="C188" s="20">
        <v>1</v>
      </c>
      <c r="D188" s="18">
        <v>59</v>
      </c>
      <c r="E188" s="20" t="s">
        <v>1121</v>
      </c>
      <c r="F188" s="17" t="s">
        <v>508</v>
      </c>
      <c r="G188" s="19" t="s">
        <v>69</v>
      </c>
      <c r="H188" s="18">
        <v>12.193333333333333</v>
      </c>
      <c r="I188" s="17" t="s">
        <v>144</v>
      </c>
      <c r="J188" s="17" t="s">
        <v>496</v>
      </c>
      <c r="K188" s="17"/>
      <c r="L188" s="17"/>
      <c r="M188" s="16" t="str">
        <f>HYPERLINK("http://slimages.macys.com/is/image/MCY/18548639 ")</f>
        <v xml:space="preserve">http://slimages.macys.com/is/image/MCY/18548639 </v>
      </c>
      <c r="N188" s="30"/>
    </row>
    <row r="189" spans="1:14" ht="60" x14ac:dyDescent="0.25">
      <c r="A189" s="19" t="s">
        <v>1120</v>
      </c>
      <c r="B189" s="17" t="s">
        <v>1119</v>
      </c>
      <c r="C189" s="20">
        <v>2</v>
      </c>
      <c r="D189" s="18">
        <v>59</v>
      </c>
      <c r="E189" s="20">
        <v>10804500</v>
      </c>
      <c r="F189" s="17" t="s">
        <v>23</v>
      </c>
      <c r="G189" s="19" t="s">
        <v>62</v>
      </c>
      <c r="H189" s="18">
        <v>12.193333333333333</v>
      </c>
      <c r="I189" s="17" t="s">
        <v>144</v>
      </c>
      <c r="J189" s="17" t="s">
        <v>143</v>
      </c>
      <c r="K189" s="17"/>
      <c r="L189" s="17"/>
      <c r="M189" s="16" t="str">
        <f>HYPERLINK("http://slimages.macys.com/is/image/MCY/19096173 ")</f>
        <v xml:space="preserve">http://slimages.macys.com/is/image/MCY/19096173 </v>
      </c>
      <c r="N189" s="30"/>
    </row>
    <row r="190" spans="1:14" ht="60" x14ac:dyDescent="0.25">
      <c r="A190" s="19" t="s">
        <v>1118</v>
      </c>
      <c r="B190" s="17" t="s">
        <v>1117</v>
      </c>
      <c r="C190" s="20">
        <v>1</v>
      </c>
      <c r="D190" s="18">
        <v>59</v>
      </c>
      <c r="E190" s="20">
        <v>10804500</v>
      </c>
      <c r="F190" s="17" t="s">
        <v>23</v>
      </c>
      <c r="G190" s="19" t="s">
        <v>197</v>
      </c>
      <c r="H190" s="18">
        <v>12.193333333333333</v>
      </c>
      <c r="I190" s="17" t="s">
        <v>144</v>
      </c>
      <c r="J190" s="17" t="s">
        <v>143</v>
      </c>
      <c r="K190" s="17"/>
      <c r="L190" s="17"/>
      <c r="M190" s="16" t="str">
        <f>HYPERLINK("http://slimages.macys.com/is/image/MCY/19096173 ")</f>
        <v xml:space="preserve">http://slimages.macys.com/is/image/MCY/19096173 </v>
      </c>
      <c r="N190" s="30"/>
    </row>
    <row r="191" spans="1:14" ht="60" x14ac:dyDescent="0.25">
      <c r="A191" s="19" t="s">
        <v>1116</v>
      </c>
      <c r="B191" s="17" t="s">
        <v>1115</v>
      </c>
      <c r="C191" s="20">
        <v>1</v>
      </c>
      <c r="D191" s="18">
        <v>50</v>
      </c>
      <c r="E191" s="20" t="s">
        <v>1110</v>
      </c>
      <c r="F191" s="17" t="s">
        <v>51</v>
      </c>
      <c r="G191" s="19" t="s">
        <v>17</v>
      </c>
      <c r="H191" s="18">
        <v>12.093333333333334</v>
      </c>
      <c r="I191" s="17" t="s">
        <v>16</v>
      </c>
      <c r="J191" s="17" t="s">
        <v>15</v>
      </c>
      <c r="K191" s="17"/>
      <c r="L191" s="17"/>
      <c r="M191" s="16" t="str">
        <f>HYPERLINK("http://slimages.macys.com/is/image/MCY/18951803 ")</f>
        <v xml:space="preserve">http://slimages.macys.com/is/image/MCY/18951803 </v>
      </c>
      <c r="N191" s="30"/>
    </row>
    <row r="192" spans="1:14" ht="60" x14ac:dyDescent="0.25">
      <c r="A192" s="19" t="s">
        <v>1114</v>
      </c>
      <c r="B192" s="17" t="s">
        <v>1113</v>
      </c>
      <c r="C192" s="20">
        <v>1</v>
      </c>
      <c r="D192" s="18">
        <v>50</v>
      </c>
      <c r="E192" s="20" t="s">
        <v>1110</v>
      </c>
      <c r="F192" s="17" t="s">
        <v>51</v>
      </c>
      <c r="G192" s="19" t="s">
        <v>62</v>
      </c>
      <c r="H192" s="18">
        <v>12.093333333333334</v>
      </c>
      <c r="I192" s="17" t="s">
        <v>16</v>
      </c>
      <c r="J192" s="17" t="s">
        <v>15</v>
      </c>
      <c r="K192" s="17"/>
      <c r="L192" s="17"/>
      <c r="M192" s="16" t="str">
        <f>HYPERLINK("http://slimages.macys.com/is/image/MCY/18951803 ")</f>
        <v xml:space="preserve">http://slimages.macys.com/is/image/MCY/18951803 </v>
      </c>
      <c r="N192" s="30"/>
    </row>
    <row r="193" spans="1:14" ht="60" x14ac:dyDescent="0.25">
      <c r="A193" s="19" t="s">
        <v>1112</v>
      </c>
      <c r="B193" s="17" t="s">
        <v>1111</v>
      </c>
      <c r="C193" s="20">
        <v>1</v>
      </c>
      <c r="D193" s="18">
        <v>50</v>
      </c>
      <c r="E193" s="20" t="s">
        <v>1110</v>
      </c>
      <c r="F193" s="17" t="s">
        <v>51</v>
      </c>
      <c r="G193" s="19" t="s">
        <v>22</v>
      </c>
      <c r="H193" s="18">
        <v>12.093333333333334</v>
      </c>
      <c r="I193" s="17" t="s">
        <v>16</v>
      </c>
      <c r="J193" s="17" t="s">
        <v>15</v>
      </c>
      <c r="K193" s="17"/>
      <c r="L193" s="17"/>
      <c r="M193" s="16" t="str">
        <f>HYPERLINK("http://slimages.macys.com/is/image/MCY/18951803 ")</f>
        <v xml:space="preserve">http://slimages.macys.com/is/image/MCY/18951803 </v>
      </c>
      <c r="N193" s="30"/>
    </row>
    <row r="194" spans="1:14" ht="60" x14ac:dyDescent="0.25">
      <c r="A194" s="19" t="s">
        <v>1109</v>
      </c>
      <c r="B194" s="17" t="s">
        <v>1108</v>
      </c>
      <c r="C194" s="20">
        <v>4</v>
      </c>
      <c r="D194" s="18">
        <v>54</v>
      </c>
      <c r="E194" s="20" t="s">
        <v>1105</v>
      </c>
      <c r="F194" s="17" t="s">
        <v>562</v>
      </c>
      <c r="G194" s="19" t="s">
        <v>62</v>
      </c>
      <c r="H194" s="18">
        <v>12</v>
      </c>
      <c r="I194" s="17" t="s">
        <v>133</v>
      </c>
      <c r="J194" s="17" t="s">
        <v>833</v>
      </c>
      <c r="K194" s="17"/>
      <c r="L194" s="17"/>
      <c r="M194" s="16" t="str">
        <f>HYPERLINK("http://slimages.macys.com/is/image/MCY/19305370 ")</f>
        <v xml:space="preserve">http://slimages.macys.com/is/image/MCY/19305370 </v>
      </c>
      <c r="N194" s="30"/>
    </row>
    <row r="195" spans="1:14" ht="60" x14ac:dyDescent="0.25">
      <c r="A195" s="19" t="s">
        <v>1107</v>
      </c>
      <c r="B195" s="17" t="s">
        <v>1106</v>
      </c>
      <c r="C195" s="20">
        <v>5</v>
      </c>
      <c r="D195" s="18">
        <v>54</v>
      </c>
      <c r="E195" s="20" t="s">
        <v>1105</v>
      </c>
      <c r="F195" s="17" t="s">
        <v>562</v>
      </c>
      <c r="G195" s="19" t="s">
        <v>74</v>
      </c>
      <c r="H195" s="18">
        <v>12</v>
      </c>
      <c r="I195" s="17" t="s">
        <v>133</v>
      </c>
      <c r="J195" s="17" t="s">
        <v>833</v>
      </c>
      <c r="K195" s="17"/>
      <c r="L195" s="17"/>
      <c r="M195" s="16" t="str">
        <f>HYPERLINK("http://slimages.macys.com/is/image/MCY/19305370 ")</f>
        <v xml:space="preserve">http://slimages.macys.com/is/image/MCY/19305370 </v>
      </c>
      <c r="N195" s="30"/>
    </row>
    <row r="196" spans="1:14" ht="60" x14ac:dyDescent="0.25">
      <c r="A196" s="19" t="s">
        <v>1104</v>
      </c>
      <c r="B196" s="17" t="s">
        <v>1103</v>
      </c>
      <c r="C196" s="20">
        <v>1</v>
      </c>
      <c r="D196" s="18">
        <v>54</v>
      </c>
      <c r="E196" s="20" t="s">
        <v>1094</v>
      </c>
      <c r="F196" s="17" t="s">
        <v>28</v>
      </c>
      <c r="G196" s="19" t="s">
        <v>69</v>
      </c>
      <c r="H196" s="18">
        <v>12</v>
      </c>
      <c r="I196" s="17" t="s">
        <v>133</v>
      </c>
      <c r="J196" s="17" t="s">
        <v>833</v>
      </c>
      <c r="K196" s="17"/>
      <c r="L196" s="17"/>
      <c r="M196" s="16" t="str">
        <f>HYPERLINK("http://slimages.macys.com/is/image/MCY/19305425 ")</f>
        <v xml:space="preserve">http://slimages.macys.com/is/image/MCY/19305425 </v>
      </c>
      <c r="N196" s="30"/>
    </row>
    <row r="197" spans="1:14" ht="60" x14ac:dyDescent="0.25">
      <c r="A197" s="19" t="s">
        <v>1102</v>
      </c>
      <c r="B197" s="17" t="s">
        <v>1101</v>
      </c>
      <c r="C197" s="20">
        <v>3</v>
      </c>
      <c r="D197" s="18">
        <v>54</v>
      </c>
      <c r="E197" s="20" t="s">
        <v>1094</v>
      </c>
      <c r="F197" s="17" t="s">
        <v>272</v>
      </c>
      <c r="G197" s="19" t="s">
        <v>62</v>
      </c>
      <c r="H197" s="18">
        <v>12</v>
      </c>
      <c r="I197" s="17" t="s">
        <v>133</v>
      </c>
      <c r="J197" s="17" t="s">
        <v>833</v>
      </c>
      <c r="K197" s="17"/>
      <c r="L197" s="17"/>
      <c r="M197" s="16" t="str">
        <f>HYPERLINK("http://slimages.macys.com/is/image/MCY/19305425 ")</f>
        <v xml:space="preserve">http://slimages.macys.com/is/image/MCY/19305425 </v>
      </c>
      <c r="N197" s="30"/>
    </row>
    <row r="198" spans="1:14" ht="60" x14ac:dyDescent="0.25">
      <c r="A198" s="19" t="s">
        <v>1100</v>
      </c>
      <c r="B198" s="17" t="s">
        <v>1099</v>
      </c>
      <c r="C198" s="20">
        <v>8</v>
      </c>
      <c r="D198" s="18">
        <v>54</v>
      </c>
      <c r="E198" s="20" t="s">
        <v>1094</v>
      </c>
      <c r="F198" s="17" t="s">
        <v>272</v>
      </c>
      <c r="G198" s="19" t="s">
        <v>69</v>
      </c>
      <c r="H198" s="18">
        <v>12</v>
      </c>
      <c r="I198" s="17" t="s">
        <v>133</v>
      </c>
      <c r="J198" s="17" t="s">
        <v>833</v>
      </c>
      <c r="K198" s="17"/>
      <c r="L198" s="17"/>
      <c r="M198" s="16" t="str">
        <f>HYPERLINK("http://slimages.macys.com/is/image/MCY/19305425 ")</f>
        <v xml:space="preserve">http://slimages.macys.com/is/image/MCY/19305425 </v>
      </c>
      <c r="N198" s="30"/>
    </row>
    <row r="199" spans="1:14" ht="132" x14ac:dyDescent="0.25">
      <c r="A199" s="19" t="s">
        <v>1098</v>
      </c>
      <c r="B199" s="17" t="s">
        <v>1097</v>
      </c>
      <c r="C199" s="20">
        <v>1</v>
      </c>
      <c r="D199" s="18">
        <v>69</v>
      </c>
      <c r="E199" s="20" t="s">
        <v>1091</v>
      </c>
      <c r="F199" s="17" t="s">
        <v>544</v>
      </c>
      <c r="G199" s="19" t="s">
        <v>139</v>
      </c>
      <c r="H199" s="18">
        <v>12</v>
      </c>
      <c r="I199" s="17" t="s">
        <v>550</v>
      </c>
      <c r="J199" s="17" t="s">
        <v>1090</v>
      </c>
      <c r="K199" s="17" t="s">
        <v>389</v>
      </c>
      <c r="L199" s="17" t="s">
        <v>1089</v>
      </c>
      <c r="M199" s="16" t="str">
        <f>HYPERLINK("http://slimages.macys.com/is/image/MCY/13839568 ")</f>
        <v xml:space="preserve">http://slimages.macys.com/is/image/MCY/13839568 </v>
      </c>
      <c r="N199" s="30"/>
    </row>
    <row r="200" spans="1:14" ht="60" x14ac:dyDescent="0.25">
      <c r="A200" s="19" t="s">
        <v>1096</v>
      </c>
      <c r="B200" s="17" t="s">
        <v>1095</v>
      </c>
      <c r="C200" s="20">
        <v>8</v>
      </c>
      <c r="D200" s="18">
        <v>54</v>
      </c>
      <c r="E200" s="20" t="s">
        <v>1094</v>
      </c>
      <c r="F200" s="17" t="s">
        <v>28</v>
      </c>
      <c r="G200" s="19" t="s">
        <v>62</v>
      </c>
      <c r="H200" s="18">
        <v>12</v>
      </c>
      <c r="I200" s="17" t="s">
        <v>133</v>
      </c>
      <c r="J200" s="17" t="s">
        <v>833</v>
      </c>
      <c r="K200" s="17"/>
      <c r="L200" s="17"/>
      <c r="M200" s="16" t="str">
        <f>HYPERLINK("http://slimages.macys.com/is/image/MCY/19305425 ")</f>
        <v xml:space="preserve">http://slimages.macys.com/is/image/MCY/19305425 </v>
      </c>
      <c r="N200" s="30"/>
    </row>
    <row r="201" spans="1:14" ht="132" x14ac:dyDescent="0.25">
      <c r="A201" s="19" t="s">
        <v>1093</v>
      </c>
      <c r="B201" s="17" t="s">
        <v>1092</v>
      </c>
      <c r="C201" s="20">
        <v>1</v>
      </c>
      <c r="D201" s="18">
        <v>69</v>
      </c>
      <c r="E201" s="20" t="s">
        <v>1091</v>
      </c>
      <c r="F201" s="17" t="s">
        <v>544</v>
      </c>
      <c r="G201" s="19" t="s">
        <v>351</v>
      </c>
      <c r="H201" s="18">
        <v>12</v>
      </c>
      <c r="I201" s="17" t="s">
        <v>550</v>
      </c>
      <c r="J201" s="17" t="s">
        <v>1090</v>
      </c>
      <c r="K201" s="17" t="s">
        <v>389</v>
      </c>
      <c r="L201" s="17" t="s">
        <v>1089</v>
      </c>
      <c r="M201" s="16" t="str">
        <f>HYPERLINK("http://slimages.macys.com/is/image/MCY/13839568 ")</f>
        <v xml:space="preserve">http://slimages.macys.com/is/image/MCY/13839568 </v>
      </c>
      <c r="N201" s="30"/>
    </row>
    <row r="202" spans="1:14" ht="60" x14ac:dyDescent="0.25">
      <c r="A202" s="19" t="s">
        <v>1088</v>
      </c>
      <c r="B202" s="17" t="s">
        <v>1087</v>
      </c>
      <c r="C202" s="20">
        <v>1</v>
      </c>
      <c r="D202" s="18">
        <v>59.5</v>
      </c>
      <c r="E202" s="20" t="s">
        <v>1086</v>
      </c>
      <c r="F202" s="17" t="s">
        <v>51</v>
      </c>
      <c r="G202" s="19" t="s">
        <v>57</v>
      </c>
      <c r="H202" s="18">
        <v>11.206666666666667</v>
      </c>
      <c r="I202" s="17" t="s">
        <v>56</v>
      </c>
      <c r="J202" s="17" t="s">
        <v>55</v>
      </c>
      <c r="K202" s="17"/>
      <c r="L202" s="17"/>
      <c r="M202" s="16" t="str">
        <f>HYPERLINK("http://slimages.macys.com/is/image/MCY/19182892 ")</f>
        <v xml:space="preserve">http://slimages.macys.com/is/image/MCY/19182892 </v>
      </c>
      <c r="N202" s="30"/>
    </row>
    <row r="203" spans="1:14" ht="60" x14ac:dyDescent="0.25">
      <c r="A203" s="19" t="s">
        <v>1085</v>
      </c>
      <c r="B203" s="17" t="s">
        <v>1084</v>
      </c>
      <c r="C203" s="20">
        <v>1</v>
      </c>
      <c r="D203" s="18">
        <v>59.5</v>
      </c>
      <c r="E203" s="20" t="s">
        <v>1083</v>
      </c>
      <c r="F203" s="17" t="s">
        <v>91</v>
      </c>
      <c r="G203" s="19" t="s">
        <v>57</v>
      </c>
      <c r="H203" s="18">
        <v>11.206666666666667</v>
      </c>
      <c r="I203" s="17" t="s">
        <v>56</v>
      </c>
      <c r="J203" s="17" t="s">
        <v>55</v>
      </c>
      <c r="K203" s="17"/>
      <c r="L203" s="17"/>
      <c r="M203" s="16" t="str">
        <f>HYPERLINK("http://slimages.macys.com/is/image/MCY/19365399 ")</f>
        <v xml:space="preserve">http://slimages.macys.com/is/image/MCY/19365399 </v>
      </c>
      <c r="N203" s="30"/>
    </row>
    <row r="204" spans="1:14" ht="60" x14ac:dyDescent="0.25">
      <c r="A204" s="19" t="s">
        <v>1082</v>
      </c>
      <c r="B204" s="17" t="s">
        <v>1081</v>
      </c>
      <c r="C204" s="20">
        <v>1</v>
      </c>
      <c r="D204" s="18">
        <v>59.5</v>
      </c>
      <c r="E204" s="20" t="s">
        <v>1080</v>
      </c>
      <c r="F204" s="17" t="s">
        <v>206</v>
      </c>
      <c r="G204" s="19" t="s">
        <v>57</v>
      </c>
      <c r="H204" s="18">
        <v>11.206666666666667</v>
      </c>
      <c r="I204" s="17" t="s">
        <v>56</v>
      </c>
      <c r="J204" s="17" t="s">
        <v>55</v>
      </c>
      <c r="K204" s="17"/>
      <c r="L204" s="17"/>
      <c r="M204" s="16" t="str">
        <f>HYPERLINK("http://slimages.macys.com/is/image/MCY/19394905 ")</f>
        <v xml:space="preserve">http://slimages.macys.com/is/image/MCY/19394905 </v>
      </c>
      <c r="N204" s="30"/>
    </row>
    <row r="205" spans="1:14" ht="60" x14ac:dyDescent="0.25">
      <c r="A205" s="19" t="s">
        <v>1079</v>
      </c>
      <c r="B205" s="17" t="s">
        <v>1078</v>
      </c>
      <c r="C205" s="20">
        <v>3</v>
      </c>
      <c r="D205" s="18">
        <v>56</v>
      </c>
      <c r="E205" s="20" t="s">
        <v>1077</v>
      </c>
      <c r="F205" s="17" t="s">
        <v>23</v>
      </c>
      <c r="G205" s="19" t="s">
        <v>69</v>
      </c>
      <c r="H205" s="18">
        <v>11.2</v>
      </c>
      <c r="I205" s="17" t="s">
        <v>144</v>
      </c>
      <c r="J205" s="17" t="s">
        <v>496</v>
      </c>
      <c r="K205" s="17"/>
      <c r="L205" s="17"/>
      <c r="M205" s="16" t="str">
        <f>HYPERLINK("http://slimages.macys.com/is/image/MCY/18849428 ")</f>
        <v xml:space="preserve">http://slimages.macys.com/is/image/MCY/18849428 </v>
      </c>
      <c r="N205" s="30"/>
    </row>
    <row r="206" spans="1:14" ht="60" x14ac:dyDescent="0.25">
      <c r="A206" s="19" t="s">
        <v>1076</v>
      </c>
      <c r="B206" s="17" t="s">
        <v>1075</v>
      </c>
      <c r="C206" s="20">
        <v>2</v>
      </c>
      <c r="D206" s="18">
        <v>41.3</v>
      </c>
      <c r="E206" s="20" t="s">
        <v>1074</v>
      </c>
      <c r="F206" s="17" t="s">
        <v>58</v>
      </c>
      <c r="G206" s="19" t="s">
        <v>74</v>
      </c>
      <c r="H206" s="18">
        <v>10.773333333333335</v>
      </c>
      <c r="I206" s="17" t="s">
        <v>42</v>
      </c>
      <c r="J206" s="17" t="s">
        <v>41</v>
      </c>
      <c r="K206" s="17"/>
      <c r="L206" s="17"/>
      <c r="M206" s="16" t="str">
        <f>HYPERLINK("http://slimages.macys.com/is/image/MCY/18757364 ")</f>
        <v xml:space="preserve">http://slimages.macys.com/is/image/MCY/18757364 </v>
      </c>
      <c r="N206" s="30"/>
    </row>
    <row r="207" spans="1:14" ht="60" x14ac:dyDescent="0.25">
      <c r="A207" s="19" t="s">
        <v>1073</v>
      </c>
      <c r="B207" s="17" t="s">
        <v>1072</v>
      </c>
      <c r="C207" s="20">
        <v>1</v>
      </c>
      <c r="D207" s="18">
        <v>49</v>
      </c>
      <c r="E207" s="20">
        <v>10770288</v>
      </c>
      <c r="F207" s="17" t="s">
        <v>28</v>
      </c>
      <c r="G207" s="19" t="s">
        <v>27</v>
      </c>
      <c r="H207" s="18">
        <v>10.126666666666667</v>
      </c>
      <c r="I207" s="17" t="s">
        <v>144</v>
      </c>
      <c r="J207" s="17" t="s">
        <v>143</v>
      </c>
      <c r="K207" s="17"/>
      <c r="L207" s="17"/>
      <c r="M207" s="16" t="str">
        <f>HYPERLINK("http://slimages.macys.com/is/image/MCY/19095693 ")</f>
        <v xml:space="preserve">http://slimages.macys.com/is/image/MCY/19095693 </v>
      </c>
      <c r="N207" s="30"/>
    </row>
    <row r="208" spans="1:14" ht="60" x14ac:dyDescent="0.25">
      <c r="A208" s="19" t="s">
        <v>1071</v>
      </c>
      <c r="B208" s="17" t="s">
        <v>1070</v>
      </c>
      <c r="C208" s="20">
        <v>1</v>
      </c>
      <c r="D208" s="18">
        <v>69</v>
      </c>
      <c r="E208" s="20">
        <v>2321703</v>
      </c>
      <c r="F208" s="17" t="s">
        <v>28</v>
      </c>
      <c r="G208" s="19" t="s">
        <v>62</v>
      </c>
      <c r="H208" s="18">
        <v>10</v>
      </c>
      <c r="I208" s="17" t="s">
        <v>80</v>
      </c>
      <c r="J208" s="17" t="s">
        <v>293</v>
      </c>
      <c r="K208" s="17"/>
      <c r="L208" s="17"/>
      <c r="M208" s="16" t="str">
        <f>HYPERLINK("http://slimages.macys.com/is/image/MCY/18917745 ")</f>
        <v xml:space="preserve">http://slimages.macys.com/is/image/MCY/18917745 </v>
      </c>
      <c r="N208" s="30"/>
    </row>
    <row r="209" spans="1:14" ht="60" x14ac:dyDescent="0.25">
      <c r="A209" s="19" t="s">
        <v>1069</v>
      </c>
      <c r="B209" s="17" t="s">
        <v>1068</v>
      </c>
      <c r="C209" s="20">
        <v>1</v>
      </c>
      <c r="D209" s="18">
        <v>59.5</v>
      </c>
      <c r="E209" s="20">
        <v>30165355</v>
      </c>
      <c r="F209" s="17" t="s">
        <v>23</v>
      </c>
      <c r="G209" s="19" t="s">
        <v>62</v>
      </c>
      <c r="H209" s="18">
        <v>9.92</v>
      </c>
      <c r="I209" s="17" t="s">
        <v>481</v>
      </c>
      <c r="J209" s="17" t="s">
        <v>480</v>
      </c>
      <c r="K209" s="17"/>
      <c r="L209" s="17"/>
      <c r="M209" s="16" t="str">
        <f>HYPERLINK("http://slimages.macys.com/is/image/MCY/21169553 ")</f>
        <v xml:space="preserve">http://slimages.macys.com/is/image/MCY/21169553 </v>
      </c>
      <c r="N209" s="30"/>
    </row>
    <row r="210" spans="1:14" ht="60" x14ac:dyDescent="0.25">
      <c r="A210" s="19" t="s">
        <v>1067</v>
      </c>
      <c r="B210" s="17" t="s">
        <v>1066</v>
      </c>
      <c r="C210" s="20">
        <v>1</v>
      </c>
      <c r="D210" s="18">
        <v>59</v>
      </c>
      <c r="E210" s="20" t="s">
        <v>1065</v>
      </c>
      <c r="F210" s="17" t="s">
        <v>23</v>
      </c>
      <c r="G210" s="19" t="s">
        <v>50</v>
      </c>
      <c r="H210" s="18">
        <v>9.8333333333333339</v>
      </c>
      <c r="I210" s="17" t="s">
        <v>129</v>
      </c>
      <c r="J210" s="17" t="s">
        <v>128</v>
      </c>
      <c r="K210" s="17"/>
      <c r="L210" s="17"/>
      <c r="M210" s="16" t="str">
        <f>HYPERLINK("http://slimages.macys.com/is/image/MCY/19144447 ")</f>
        <v xml:space="preserve">http://slimages.macys.com/is/image/MCY/19144447 </v>
      </c>
      <c r="N210" s="30"/>
    </row>
    <row r="211" spans="1:14" ht="60" x14ac:dyDescent="0.25">
      <c r="A211" s="19" t="s">
        <v>1064</v>
      </c>
      <c r="B211" s="17" t="s">
        <v>1063</v>
      </c>
      <c r="C211" s="20">
        <v>3</v>
      </c>
      <c r="D211" s="18">
        <v>49</v>
      </c>
      <c r="E211" s="20">
        <v>10813218</v>
      </c>
      <c r="F211" s="17" t="s">
        <v>575</v>
      </c>
      <c r="G211" s="19" t="s">
        <v>351</v>
      </c>
      <c r="H211" s="18">
        <v>9.8000000000000007</v>
      </c>
      <c r="I211" s="17" t="s">
        <v>358</v>
      </c>
      <c r="J211" s="17" t="s">
        <v>554</v>
      </c>
      <c r="K211" s="17"/>
      <c r="L211" s="17"/>
      <c r="M211" s="16" t="str">
        <f>HYPERLINK("http://slimages.macys.com/is/image/MCY/19634022 ")</f>
        <v xml:space="preserve">http://slimages.macys.com/is/image/MCY/19634022 </v>
      </c>
      <c r="N211" s="30"/>
    </row>
    <row r="212" spans="1:14" ht="60" x14ac:dyDescent="0.25">
      <c r="A212" s="19" t="s">
        <v>1062</v>
      </c>
      <c r="B212" s="17" t="s">
        <v>1061</v>
      </c>
      <c r="C212" s="20">
        <v>1</v>
      </c>
      <c r="D212" s="18">
        <v>49</v>
      </c>
      <c r="E212" s="20">
        <v>10804586</v>
      </c>
      <c r="F212" s="17" t="s">
        <v>282</v>
      </c>
      <c r="G212" s="19" t="s">
        <v>271</v>
      </c>
      <c r="H212" s="18">
        <v>9.8000000000000007</v>
      </c>
      <c r="I212" s="17" t="s">
        <v>358</v>
      </c>
      <c r="J212" s="17" t="s">
        <v>554</v>
      </c>
      <c r="K212" s="17"/>
      <c r="L212" s="17"/>
      <c r="M212" s="16" t="str">
        <f>HYPERLINK("http://slimages.macys.com/is/image/MCY/18874177 ")</f>
        <v xml:space="preserve">http://slimages.macys.com/is/image/MCY/18874177 </v>
      </c>
      <c r="N212" s="30"/>
    </row>
    <row r="213" spans="1:14" ht="60" x14ac:dyDescent="0.25">
      <c r="A213" s="19" t="s">
        <v>1060</v>
      </c>
      <c r="B213" s="17" t="s">
        <v>1059</v>
      </c>
      <c r="C213" s="20">
        <v>1</v>
      </c>
      <c r="D213" s="18">
        <v>50</v>
      </c>
      <c r="E213" s="20" t="s">
        <v>1058</v>
      </c>
      <c r="F213" s="17" t="s">
        <v>28</v>
      </c>
      <c r="G213" s="19" t="s">
        <v>17</v>
      </c>
      <c r="H213" s="18">
        <v>9.7666666666666675</v>
      </c>
      <c r="I213" s="17" t="s">
        <v>16</v>
      </c>
      <c r="J213" s="17" t="s">
        <v>15</v>
      </c>
      <c r="K213" s="17"/>
      <c r="L213" s="17"/>
      <c r="M213" s="16" t="str">
        <f>HYPERLINK("http://slimages.macys.com/is/image/MCY/18437461 ")</f>
        <v xml:space="preserve">http://slimages.macys.com/is/image/MCY/18437461 </v>
      </c>
      <c r="N213" s="30"/>
    </row>
    <row r="214" spans="1:14" ht="60" x14ac:dyDescent="0.25">
      <c r="A214" s="19" t="s">
        <v>1057</v>
      </c>
      <c r="B214" s="17" t="s">
        <v>1056</v>
      </c>
      <c r="C214" s="20">
        <v>2</v>
      </c>
      <c r="D214" s="18">
        <v>44</v>
      </c>
      <c r="E214" s="20" t="s">
        <v>302</v>
      </c>
      <c r="F214" s="17" t="s">
        <v>23</v>
      </c>
      <c r="G214" s="19" t="s">
        <v>17</v>
      </c>
      <c r="H214" s="18">
        <v>9.706666666666667</v>
      </c>
      <c r="I214" s="17" t="s">
        <v>49</v>
      </c>
      <c r="J214" s="17" t="s">
        <v>48</v>
      </c>
      <c r="K214" s="17"/>
      <c r="L214" s="17"/>
      <c r="M214" s="16" t="str">
        <f>HYPERLINK("http://slimages.macys.com/is/image/MCY/19352470 ")</f>
        <v xml:space="preserve">http://slimages.macys.com/is/image/MCY/19352470 </v>
      </c>
      <c r="N214" s="30"/>
    </row>
    <row r="215" spans="1:14" ht="60" x14ac:dyDescent="0.25">
      <c r="A215" s="19" t="s">
        <v>1055</v>
      </c>
      <c r="B215" s="17" t="s">
        <v>1054</v>
      </c>
      <c r="C215" s="20">
        <v>1</v>
      </c>
      <c r="D215" s="18">
        <v>59</v>
      </c>
      <c r="E215" s="20">
        <v>2321607</v>
      </c>
      <c r="F215" s="17" t="s">
        <v>63</v>
      </c>
      <c r="G215" s="19" t="s">
        <v>17</v>
      </c>
      <c r="H215" s="18">
        <v>9.3333333333333339</v>
      </c>
      <c r="I215" s="17" t="s">
        <v>80</v>
      </c>
      <c r="J215" s="17" t="s">
        <v>293</v>
      </c>
      <c r="K215" s="17"/>
      <c r="L215" s="17"/>
      <c r="M215" s="16" t="str">
        <f>HYPERLINK("http://slimages.macys.com/is/image/MCY/18614899 ")</f>
        <v xml:space="preserve">http://slimages.macys.com/is/image/MCY/18614899 </v>
      </c>
      <c r="N215" s="30"/>
    </row>
    <row r="216" spans="1:14" ht="60" x14ac:dyDescent="0.25">
      <c r="A216" s="19" t="s">
        <v>1053</v>
      </c>
      <c r="B216" s="17" t="s">
        <v>1052</v>
      </c>
      <c r="C216" s="20">
        <v>1</v>
      </c>
      <c r="D216" s="18">
        <v>59</v>
      </c>
      <c r="E216" s="20">
        <v>2331830</v>
      </c>
      <c r="F216" s="17" t="s">
        <v>63</v>
      </c>
      <c r="G216" s="19" t="s">
        <v>22</v>
      </c>
      <c r="H216" s="18">
        <v>9.3333333333333339</v>
      </c>
      <c r="I216" s="17" t="s">
        <v>80</v>
      </c>
      <c r="J216" s="17" t="s">
        <v>293</v>
      </c>
      <c r="K216" s="17"/>
      <c r="L216" s="17"/>
      <c r="M216" s="16" t="str">
        <f>HYPERLINK("http://slimages.macys.com/is/image/MCY/19226187 ")</f>
        <v xml:space="preserve">http://slimages.macys.com/is/image/MCY/19226187 </v>
      </c>
      <c r="N216" s="30"/>
    </row>
    <row r="217" spans="1:14" ht="60" x14ac:dyDescent="0.25">
      <c r="A217" s="19" t="s">
        <v>1051</v>
      </c>
      <c r="B217" s="17" t="s">
        <v>1050</v>
      </c>
      <c r="C217" s="20">
        <v>1</v>
      </c>
      <c r="D217" s="18">
        <v>49.5</v>
      </c>
      <c r="E217" s="20" t="s">
        <v>286</v>
      </c>
      <c r="F217" s="17" t="s">
        <v>91</v>
      </c>
      <c r="G217" s="19" t="s">
        <v>69</v>
      </c>
      <c r="H217" s="18">
        <v>9.32</v>
      </c>
      <c r="I217" s="17" t="s">
        <v>56</v>
      </c>
      <c r="J217" s="17" t="s">
        <v>55</v>
      </c>
      <c r="K217" s="17"/>
      <c r="L217" s="17"/>
      <c r="M217" s="16" t="str">
        <f>HYPERLINK("http://slimages.macys.com/is/image/MCY/16687507 ")</f>
        <v xml:space="preserve">http://slimages.macys.com/is/image/MCY/16687507 </v>
      </c>
      <c r="N217" s="30"/>
    </row>
    <row r="218" spans="1:14" ht="60" x14ac:dyDescent="0.25">
      <c r="A218" s="19" t="s">
        <v>1049</v>
      </c>
      <c r="B218" s="17" t="s">
        <v>1048</v>
      </c>
      <c r="C218" s="20">
        <v>1</v>
      </c>
      <c r="D218" s="18">
        <v>49.5</v>
      </c>
      <c r="E218" s="20" t="s">
        <v>286</v>
      </c>
      <c r="F218" s="17" t="s">
        <v>51</v>
      </c>
      <c r="G218" s="19" t="s">
        <v>57</v>
      </c>
      <c r="H218" s="18">
        <v>9.32</v>
      </c>
      <c r="I218" s="17" t="s">
        <v>56</v>
      </c>
      <c r="J218" s="17" t="s">
        <v>55</v>
      </c>
      <c r="K218" s="17"/>
      <c r="L218" s="17"/>
      <c r="M218" s="16" t="str">
        <f>HYPERLINK("http://slimages.macys.com/is/image/MCY/19254685 ")</f>
        <v xml:space="preserve">http://slimages.macys.com/is/image/MCY/19254685 </v>
      </c>
      <c r="N218" s="30"/>
    </row>
    <row r="219" spans="1:14" ht="60" x14ac:dyDescent="0.25">
      <c r="A219" s="19" t="s">
        <v>1047</v>
      </c>
      <c r="B219" s="17" t="s">
        <v>1046</v>
      </c>
      <c r="C219" s="20">
        <v>1</v>
      </c>
      <c r="D219" s="18">
        <v>49</v>
      </c>
      <c r="E219" s="20" t="s">
        <v>1045</v>
      </c>
      <c r="F219" s="17" t="s">
        <v>58</v>
      </c>
      <c r="G219" s="19" t="s">
        <v>197</v>
      </c>
      <c r="H219" s="18">
        <v>9.2266666666666666</v>
      </c>
      <c r="I219" s="17" t="s">
        <v>56</v>
      </c>
      <c r="J219" s="17" t="s">
        <v>55</v>
      </c>
      <c r="K219" s="17" t="s">
        <v>389</v>
      </c>
      <c r="L219" s="17" t="s">
        <v>1044</v>
      </c>
      <c r="M219" s="16" t="str">
        <f>HYPERLINK("http://slimages.macys.com/is/image/MCY/11516682 ")</f>
        <v xml:space="preserve">http://slimages.macys.com/is/image/MCY/11516682 </v>
      </c>
      <c r="N219" s="30"/>
    </row>
    <row r="220" spans="1:14" ht="60" x14ac:dyDescent="0.25">
      <c r="A220" s="19" t="s">
        <v>1043</v>
      </c>
      <c r="B220" s="17" t="s">
        <v>1042</v>
      </c>
      <c r="C220" s="20">
        <v>7</v>
      </c>
      <c r="D220" s="18">
        <v>39</v>
      </c>
      <c r="E220" s="20" t="s">
        <v>1041</v>
      </c>
      <c r="F220" s="17" t="s">
        <v>81</v>
      </c>
      <c r="G220" s="19" t="s">
        <v>17</v>
      </c>
      <c r="H220" s="18">
        <v>8.6066666666666674</v>
      </c>
      <c r="I220" s="17" t="s">
        <v>49</v>
      </c>
      <c r="J220" s="17" t="s">
        <v>48</v>
      </c>
      <c r="K220" s="17"/>
      <c r="L220" s="17"/>
      <c r="M220" s="16" t="str">
        <f>HYPERLINK("http://slimages.macys.com/is/image/MCY/19352482 ")</f>
        <v xml:space="preserve">http://slimages.macys.com/is/image/MCY/19352482 </v>
      </c>
      <c r="N220" s="30"/>
    </row>
    <row r="221" spans="1:14" ht="60" x14ac:dyDescent="0.25">
      <c r="A221" s="19" t="s">
        <v>1040</v>
      </c>
      <c r="B221" s="17" t="s">
        <v>1039</v>
      </c>
      <c r="C221" s="20">
        <v>1</v>
      </c>
      <c r="D221" s="18">
        <v>49</v>
      </c>
      <c r="E221" s="20">
        <v>7099636</v>
      </c>
      <c r="F221" s="17" t="s">
        <v>508</v>
      </c>
      <c r="G221" s="19" t="s">
        <v>101</v>
      </c>
      <c r="H221" s="18">
        <v>8.1666666666666679</v>
      </c>
      <c r="I221" s="17" t="s">
        <v>111</v>
      </c>
      <c r="J221" s="17" t="s">
        <v>110</v>
      </c>
      <c r="K221" s="17"/>
      <c r="L221" s="17"/>
      <c r="M221" s="16" t="str">
        <f>HYPERLINK("http://slimages.macys.com/is/image/MCY/17612445 ")</f>
        <v xml:space="preserve">http://slimages.macys.com/is/image/MCY/17612445 </v>
      </c>
      <c r="N221" s="30"/>
    </row>
    <row r="222" spans="1:14" ht="84" x14ac:dyDescent="0.25">
      <c r="A222" s="19" t="s">
        <v>1038</v>
      </c>
      <c r="B222" s="17" t="s">
        <v>1037</v>
      </c>
      <c r="C222" s="20">
        <v>1</v>
      </c>
      <c r="D222" s="18">
        <v>30</v>
      </c>
      <c r="E222" s="20" t="s">
        <v>1029</v>
      </c>
      <c r="F222" s="17" t="s">
        <v>51</v>
      </c>
      <c r="G222" s="19" t="s">
        <v>22</v>
      </c>
      <c r="H222" s="18">
        <v>7.8666666666666663</v>
      </c>
      <c r="I222" s="17" t="s">
        <v>16</v>
      </c>
      <c r="J222" s="17" t="s">
        <v>15</v>
      </c>
      <c r="K222" s="17" t="s">
        <v>389</v>
      </c>
      <c r="L222" s="17" t="s">
        <v>1028</v>
      </c>
      <c r="M222" s="16" t="str">
        <f>HYPERLINK("http://slimages.macys.com/is/image/MCY/9343963 ")</f>
        <v xml:space="preserve">http://slimages.macys.com/is/image/MCY/9343963 </v>
      </c>
      <c r="N222" s="30"/>
    </row>
    <row r="223" spans="1:14" ht="84" x14ac:dyDescent="0.25">
      <c r="A223" s="19" t="s">
        <v>1036</v>
      </c>
      <c r="B223" s="17" t="s">
        <v>1035</v>
      </c>
      <c r="C223" s="20">
        <v>1</v>
      </c>
      <c r="D223" s="18">
        <v>30</v>
      </c>
      <c r="E223" s="20" t="s">
        <v>1029</v>
      </c>
      <c r="F223" s="17" t="s">
        <v>51</v>
      </c>
      <c r="G223" s="19" t="s">
        <v>17</v>
      </c>
      <c r="H223" s="18">
        <v>7.8666666666666663</v>
      </c>
      <c r="I223" s="17" t="s">
        <v>16</v>
      </c>
      <c r="J223" s="17" t="s">
        <v>15</v>
      </c>
      <c r="K223" s="17" t="s">
        <v>389</v>
      </c>
      <c r="L223" s="17" t="s">
        <v>1028</v>
      </c>
      <c r="M223" s="16" t="str">
        <f>HYPERLINK("http://slimages.macys.com/is/image/MCY/9343963 ")</f>
        <v xml:space="preserve">http://slimages.macys.com/is/image/MCY/9343963 </v>
      </c>
      <c r="N223" s="30"/>
    </row>
    <row r="224" spans="1:14" ht="60" x14ac:dyDescent="0.25">
      <c r="A224" s="19" t="s">
        <v>1034</v>
      </c>
      <c r="B224" s="17" t="s">
        <v>1033</v>
      </c>
      <c r="C224" s="20">
        <v>1</v>
      </c>
      <c r="D224" s="18">
        <v>30</v>
      </c>
      <c r="E224" s="20" t="s">
        <v>1032</v>
      </c>
      <c r="F224" s="17" t="s">
        <v>51</v>
      </c>
      <c r="G224" s="19" t="s">
        <v>22</v>
      </c>
      <c r="H224" s="18">
        <v>7.8666666666666663</v>
      </c>
      <c r="I224" s="17" t="s">
        <v>16</v>
      </c>
      <c r="J224" s="17" t="s">
        <v>15</v>
      </c>
      <c r="K224" s="17"/>
      <c r="L224" s="17"/>
      <c r="M224" s="16" t="str">
        <f>HYPERLINK("http://slimages.macys.com/is/image/MCY/19382853 ")</f>
        <v xml:space="preserve">http://slimages.macys.com/is/image/MCY/19382853 </v>
      </c>
      <c r="N224" s="30"/>
    </row>
    <row r="225" spans="1:14" ht="84" x14ac:dyDescent="0.25">
      <c r="A225" s="19" t="s">
        <v>1031</v>
      </c>
      <c r="B225" s="17" t="s">
        <v>1030</v>
      </c>
      <c r="C225" s="20">
        <v>2</v>
      </c>
      <c r="D225" s="18">
        <v>30</v>
      </c>
      <c r="E225" s="20" t="s">
        <v>1029</v>
      </c>
      <c r="F225" s="17" t="s">
        <v>51</v>
      </c>
      <c r="G225" s="19" t="s">
        <v>50</v>
      </c>
      <c r="H225" s="18">
        <v>7.8666666666666663</v>
      </c>
      <c r="I225" s="17" t="s">
        <v>16</v>
      </c>
      <c r="J225" s="17" t="s">
        <v>15</v>
      </c>
      <c r="K225" s="17" t="s">
        <v>389</v>
      </c>
      <c r="L225" s="17" t="s">
        <v>1028</v>
      </c>
      <c r="M225" s="16" t="str">
        <f>HYPERLINK("http://slimages.macys.com/is/image/MCY/9343963 ")</f>
        <v xml:space="preserve">http://slimages.macys.com/is/image/MCY/9343963 </v>
      </c>
      <c r="N225" s="30"/>
    </row>
    <row r="226" spans="1:14" ht="60" x14ac:dyDescent="0.25">
      <c r="A226" s="19" t="s">
        <v>1027</v>
      </c>
      <c r="B226" s="17" t="s">
        <v>1026</v>
      </c>
      <c r="C226" s="20">
        <v>1</v>
      </c>
      <c r="D226" s="18">
        <v>45</v>
      </c>
      <c r="E226" s="20" t="s">
        <v>1025</v>
      </c>
      <c r="F226" s="17"/>
      <c r="G226" s="19" t="s">
        <v>22</v>
      </c>
      <c r="H226" s="18">
        <v>7.78</v>
      </c>
      <c r="I226" s="17" t="s">
        <v>16</v>
      </c>
      <c r="J226" s="17" t="s">
        <v>15</v>
      </c>
      <c r="K226" s="17"/>
      <c r="L226" s="17"/>
      <c r="M226" s="16" t="str">
        <f>HYPERLINK("http://slimages.macys.com/is/image/MCY/18263255 ")</f>
        <v xml:space="preserve">http://slimages.macys.com/is/image/MCY/18263255 </v>
      </c>
      <c r="N226" s="30"/>
    </row>
    <row r="227" spans="1:14" ht="60" x14ac:dyDescent="0.25">
      <c r="A227" s="19" t="s">
        <v>1024</v>
      </c>
      <c r="B227" s="17" t="s">
        <v>1023</v>
      </c>
      <c r="C227" s="20">
        <v>1</v>
      </c>
      <c r="D227" s="18">
        <v>49</v>
      </c>
      <c r="E227" s="20">
        <v>2331002</v>
      </c>
      <c r="F227" s="17" t="s">
        <v>1022</v>
      </c>
      <c r="G227" s="19" t="s">
        <v>22</v>
      </c>
      <c r="H227" s="18">
        <v>7.5</v>
      </c>
      <c r="I227" s="17" t="s">
        <v>80</v>
      </c>
      <c r="J227" s="17" t="s">
        <v>293</v>
      </c>
      <c r="K227" s="17"/>
      <c r="L227" s="17"/>
      <c r="M227" s="16" t="str">
        <f>HYPERLINK("http://slimages.macys.com/is/image/MCY/19258069 ")</f>
        <v xml:space="preserve">http://slimages.macys.com/is/image/MCY/19258069 </v>
      </c>
      <c r="N227" s="30"/>
    </row>
    <row r="228" spans="1:14" ht="60" x14ac:dyDescent="0.25">
      <c r="A228" s="19" t="s">
        <v>1021</v>
      </c>
      <c r="B228" s="17" t="s">
        <v>1020</v>
      </c>
      <c r="C228" s="20">
        <v>1</v>
      </c>
      <c r="D228" s="18">
        <v>39.5</v>
      </c>
      <c r="E228" s="20" t="s">
        <v>1019</v>
      </c>
      <c r="F228" s="17" t="s">
        <v>28</v>
      </c>
      <c r="G228" s="19" t="s">
        <v>197</v>
      </c>
      <c r="H228" s="18">
        <v>7.4400000000000013</v>
      </c>
      <c r="I228" s="17" t="s">
        <v>68</v>
      </c>
      <c r="J228" s="17" t="s">
        <v>67</v>
      </c>
      <c r="K228" s="17"/>
      <c r="L228" s="17"/>
      <c r="M228" s="16" t="str">
        <f>HYPERLINK("http://slimages.macys.com/is/image/MCY/16803909 ")</f>
        <v xml:space="preserve">http://slimages.macys.com/is/image/MCY/16803909 </v>
      </c>
      <c r="N228" s="30"/>
    </row>
    <row r="229" spans="1:14" ht="60" x14ac:dyDescent="0.25">
      <c r="A229" s="19" t="s">
        <v>1018</v>
      </c>
      <c r="B229" s="17" t="s">
        <v>1017</v>
      </c>
      <c r="C229" s="20">
        <v>1</v>
      </c>
      <c r="D229" s="18">
        <v>39.5</v>
      </c>
      <c r="E229" s="20" t="s">
        <v>213</v>
      </c>
      <c r="F229" s="17" t="s">
        <v>23</v>
      </c>
      <c r="G229" s="19" t="s">
        <v>74</v>
      </c>
      <c r="H229" s="18">
        <v>7.4400000000000013</v>
      </c>
      <c r="I229" s="17" t="s">
        <v>56</v>
      </c>
      <c r="J229" s="17" t="s">
        <v>55</v>
      </c>
      <c r="K229" s="17"/>
      <c r="L229" s="17"/>
      <c r="M229" s="16" t="str">
        <f>HYPERLINK("http://slimages.macys.com/is/image/MCY/19179536 ")</f>
        <v xml:space="preserve">http://slimages.macys.com/is/image/MCY/19179536 </v>
      </c>
      <c r="N229" s="30"/>
    </row>
    <row r="230" spans="1:14" ht="60" x14ac:dyDescent="0.25">
      <c r="A230" s="19" t="s">
        <v>1016</v>
      </c>
      <c r="B230" s="17" t="s">
        <v>1015</v>
      </c>
      <c r="C230" s="20">
        <v>1</v>
      </c>
      <c r="D230" s="18">
        <v>39.5</v>
      </c>
      <c r="E230" s="20" t="s">
        <v>1000</v>
      </c>
      <c r="F230" s="17" t="s">
        <v>91</v>
      </c>
      <c r="G230" s="19" t="s">
        <v>74</v>
      </c>
      <c r="H230" s="18">
        <v>7.4400000000000013</v>
      </c>
      <c r="I230" s="17" t="s">
        <v>56</v>
      </c>
      <c r="J230" s="17" t="s">
        <v>55</v>
      </c>
      <c r="K230" s="17"/>
      <c r="L230" s="17"/>
      <c r="M230" s="16" t="str">
        <f>HYPERLINK("http://slimages.macys.com/is/image/MCY/19394976 ")</f>
        <v xml:space="preserve">http://slimages.macys.com/is/image/MCY/19394976 </v>
      </c>
      <c r="N230" s="30"/>
    </row>
    <row r="231" spans="1:14" ht="60" x14ac:dyDescent="0.25">
      <c r="A231" s="19" t="s">
        <v>1014</v>
      </c>
      <c r="B231" s="17" t="s">
        <v>1013</v>
      </c>
      <c r="C231" s="20">
        <v>1</v>
      </c>
      <c r="D231" s="18">
        <v>39.5</v>
      </c>
      <c r="E231" s="20" t="s">
        <v>213</v>
      </c>
      <c r="F231" s="17" t="s">
        <v>23</v>
      </c>
      <c r="G231" s="19" t="s">
        <v>62</v>
      </c>
      <c r="H231" s="18">
        <v>7.4400000000000013</v>
      </c>
      <c r="I231" s="17" t="s">
        <v>56</v>
      </c>
      <c r="J231" s="17" t="s">
        <v>55</v>
      </c>
      <c r="K231" s="17"/>
      <c r="L231" s="17"/>
      <c r="M231" s="16" t="str">
        <f>HYPERLINK("http://slimages.macys.com/is/image/MCY/19179536 ")</f>
        <v xml:space="preserve">http://slimages.macys.com/is/image/MCY/19179536 </v>
      </c>
      <c r="N231" s="30"/>
    </row>
    <row r="232" spans="1:14" ht="60" x14ac:dyDescent="0.25">
      <c r="A232" s="19" t="s">
        <v>215</v>
      </c>
      <c r="B232" s="17" t="s">
        <v>214</v>
      </c>
      <c r="C232" s="20">
        <v>1</v>
      </c>
      <c r="D232" s="18">
        <v>39.5</v>
      </c>
      <c r="E232" s="20" t="s">
        <v>213</v>
      </c>
      <c r="F232" s="17" t="s">
        <v>63</v>
      </c>
      <c r="G232" s="19" t="s">
        <v>69</v>
      </c>
      <c r="H232" s="18">
        <v>7.4400000000000013</v>
      </c>
      <c r="I232" s="17" t="s">
        <v>56</v>
      </c>
      <c r="J232" s="17" t="s">
        <v>55</v>
      </c>
      <c r="K232" s="17"/>
      <c r="L232" s="17"/>
      <c r="M232" s="16" t="str">
        <f>HYPERLINK("http://slimages.macys.com/is/image/MCY/19179536 ")</f>
        <v xml:space="preserve">http://slimages.macys.com/is/image/MCY/19179536 </v>
      </c>
      <c r="N232" s="30"/>
    </row>
    <row r="233" spans="1:14" ht="60" x14ac:dyDescent="0.25">
      <c r="A233" s="19" t="s">
        <v>1012</v>
      </c>
      <c r="B233" s="17" t="s">
        <v>1011</v>
      </c>
      <c r="C233" s="20">
        <v>1</v>
      </c>
      <c r="D233" s="18">
        <v>39.5</v>
      </c>
      <c r="E233" s="20" t="s">
        <v>213</v>
      </c>
      <c r="F233" s="17" t="s">
        <v>23</v>
      </c>
      <c r="G233" s="19" t="s">
        <v>197</v>
      </c>
      <c r="H233" s="18">
        <v>7.4400000000000013</v>
      </c>
      <c r="I233" s="17" t="s">
        <v>56</v>
      </c>
      <c r="J233" s="17" t="s">
        <v>55</v>
      </c>
      <c r="K233" s="17"/>
      <c r="L233" s="17"/>
      <c r="M233" s="16" t="str">
        <f>HYPERLINK("http://slimages.macys.com/is/image/MCY/19179536 ")</f>
        <v xml:space="preserve">http://slimages.macys.com/is/image/MCY/19179536 </v>
      </c>
      <c r="N233" s="30"/>
    </row>
    <row r="234" spans="1:14" ht="60" x14ac:dyDescent="0.25">
      <c r="A234" s="19" t="s">
        <v>1010</v>
      </c>
      <c r="B234" s="17" t="s">
        <v>1009</v>
      </c>
      <c r="C234" s="20">
        <v>1</v>
      </c>
      <c r="D234" s="18">
        <v>39.5</v>
      </c>
      <c r="E234" s="20" t="s">
        <v>1008</v>
      </c>
      <c r="F234" s="17" t="s">
        <v>91</v>
      </c>
      <c r="G234" s="19" t="s">
        <v>69</v>
      </c>
      <c r="H234" s="18">
        <v>7.4400000000000013</v>
      </c>
      <c r="I234" s="17" t="s">
        <v>56</v>
      </c>
      <c r="J234" s="17" t="s">
        <v>55</v>
      </c>
      <c r="K234" s="17"/>
      <c r="L234" s="17"/>
      <c r="M234" s="16" t="str">
        <f>HYPERLINK("http://slimages.macys.com/is/image/MCY/19021202 ")</f>
        <v xml:space="preserve">http://slimages.macys.com/is/image/MCY/19021202 </v>
      </c>
      <c r="N234" s="30"/>
    </row>
    <row r="235" spans="1:14" ht="60" x14ac:dyDescent="0.25">
      <c r="A235" s="19" t="s">
        <v>1007</v>
      </c>
      <c r="B235" s="17" t="s">
        <v>1006</v>
      </c>
      <c r="C235" s="20">
        <v>1</v>
      </c>
      <c r="D235" s="18">
        <v>39.5</v>
      </c>
      <c r="E235" s="20" t="s">
        <v>1005</v>
      </c>
      <c r="F235" s="17" t="s">
        <v>58</v>
      </c>
      <c r="G235" s="19" t="s">
        <v>57</v>
      </c>
      <c r="H235" s="18">
        <v>7.4400000000000013</v>
      </c>
      <c r="I235" s="17" t="s">
        <v>56</v>
      </c>
      <c r="J235" s="17" t="s">
        <v>55</v>
      </c>
      <c r="K235" s="17"/>
      <c r="L235" s="17"/>
      <c r="M235" s="16" t="str">
        <f>HYPERLINK("http://slimages.macys.com/is/image/MCY/19179628 ")</f>
        <v xml:space="preserve">http://slimages.macys.com/is/image/MCY/19179628 </v>
      </c>
      <c r="N235" s="30"/>
    </row>
    <row r="236" spans="1:14" ht="60" x14ac:dyDescent="0.25">
      <c r="A236" s="19" t="s">
        <v>1004</v>
      </c>
      <c r="B236" s="17" t="s">
        <v>1003</v>
      </c>
      <c r="C236" s="20">
        <v>1</v>
      </c>
      <c r="D236" s="18">
        <v>39.5</v>
      </c>
      <c r="E236" s="20" t="s">
        <v>213</v>
      </c>
      <c r="F236" s="17" t="s">
        <v>63</v>
      </c>
      <c r="G236" s="19" t="s">
        <v>197</v>
      </c>
      <c r="H236" s="18">
        <v>7.4400000000000013</v>
      </c>
      <c r="I236" s="17" t="s">
        <v>56</v>
      </c>
      <c r="J236" s="17" t="s">
        <v>55</v>
      </c>
      <c r="K236" s="17"/>
      <c r="L236" s="17"/>
      <c r="M236" s="16" t="str">
        <f>HYPERLINK("http://slimages.macys.com/is/image/MCY/19179536 ")</f>
        <v xml:space="preserve">http://slimages.macys.com/is/image/MCY/19179536 </v>
      </c>
      <c r="N236" s="30"/>
    </row>
    <row r="237" spans="1:14" ht="60" x14ac:dyDescent="0.25">
      <c r="A237" s="19" t="s">
        <v>1002</v>
      </c>
      <c r="B237" s="17" t="s">
        <v>1001</v>
      </c>
      <c r="C237" s="20">
        <v>1</v>
      </c>
      <c r="D237" s="18">
        <v>39.5</v>
      </c>
      <c r="E237" s="20" t="s">
        <v>1000</v>
      </c>
      <c r="F237" s="17" t="s">
        <v>91</v>
      </c>
      <c r="G237" s="19" t="s">
        <v>197</v>
      </c>
      <c r="H237" s="18">
        <v>7.4400000000000013</v>
      </c>
      <c r="I237" s="17" t="s">
        <v>56</v>
      </c>
      <c r="J237" s="17" t="s">
        <v>55</v>
      </c>
      <c r="K237" s="17"/>
      <c r="L237" s="17"/>
      <c r="M237" s="16" t="str">
        <f>HYPERLINK("http://slimages.macys.com/is/image/MCY/19394976 ")</f>
        <v xml:space="preserve">http://slimages.macys.com/is/image/MCY/19394976 </v>
      </c>
      <c r="N237" s="30"/>
    </row>
    <row r="238" spans="1:14" ht="60" x14ac:dyDescent="0.25">
      <c r="A238" s="19" t="s">
        <v>999</v>
      </c>
      <c r="B238" s="17" t="s">
        <v>998</v>
      </c>
      <c r="C238" s="20">
        <v>3</v>
      </c>
      <c r="D238" s="18">
        <v>39.5</v>
      </c>
      <c r="E238" s="20" t="s">
        <v>213</v>
      </c>
      <c r="F238" s="17" t="s">
        <v>23</v>
      </c>
      <c r="G238" s="19" t="s">
        <v>69</v>
      </c>
      <c r="H238" s="18">
        <v>7.4400000000000013</v>
      </c>
      <c r="I238" s="17" t="s">
        <v>56</v>
      </c>
      <c r="J238" s="17" t="s">
        <v>55</v>
      </c>
      <c r="K238" s="17"/>
      <c r="L238" s="17"/>
      <c r="M238" s="16" t="str">
        <f>HYPERLINK("http://slimages.macys.com/is/image/MCY/19179536 ")</f>
        <v xml:space="preserve">http://slimages.macys.com/is/image/MCY/19179536 </v>
      </c>
      <c r="N238" s="30"/>
    </row>
    <row r="239" spans="1:14" ht="60" x14ac:dyDescent="0.25">
      <c r="A239" s="19" t="s">
        <v>997</v>
      </c>
      <c r="B239" s="17" t="s">
        <v>996</v>
      </c>
      <c r="C239" s="20">
        <v>1</v>
      </c>
      <c r="D239" s="18">
        <v>39.5</v>
      </c>
      <c r="E239" s="20" t="s">
        <v>995</v>
      </c>
      <c r="F239" s="17" t="s">
        <v>63</v>
      </c>
      <c r="G239" s="19" t="s">
        <v>197</v>
      </c>
      <c r="H239" s="18">
        <v>7.4400000000000013</v>
      </c>
      <c r="I239" s="17" t="s">
        <v>56</v>
      </c>
      <c r="J239" s="17" t="s">
        <v>55</v>
      </c>
      <c r="K239" s="17"/>
      <c r="L239" s="17"/>
      <c r="M239" s="16" t="str">
        <f>HYPERLINK("http://slimages.macys.com/is/image/MCY/19021414 ")</f>
        <v xml:space="preserve">http://slimages.macys.com/is/image/MCY/19021414 </v>
      </c>
      <c r="N239" s="30"/>
    </row>
    <row r="240" spans="1:14" ht="60" x14ac:dyDescent="0.25">
      <c r="A240" s="19" t="s">
        <v>994</v>
      </c>
      <c r="B240" s="17" t="s">
        <v>993</v>
      </c>
      <c r="C240" s="20">
        <v>1</v>
      </c>
      <c r="D240" s="18">
        <v>39.5</v>
      </c>
      <c r="E240" s="20" t="s">
        <v>213</v>
      </c>
      <c r="F240" s="17" t="s">
        <v>23</v>
      </c>
      <c r="G240" s="19" t="s">
        <v>57</v>
      </c>
      <c r="H240" s="18">
        <v>7.4400000000000013</v>
      </c>
      <c r="I240" s="17" t="s">
        <v>56</v>
      </c>
      <c r="J240" s="17" t="s">
        <v>55</v>
      </c>
      <c r="K240" s="17"/>
      <c r="L240" s="17"/>
      <c r="M240" s="16" t="str">
        <f>HYPERLINK("http://slimages.macys.com/is/image/MCY/19179536 ")</f>
        <v xml:space="preserve">http://slimages.macys.com/is/image/MCY/19179536 </v>
      </c>
      <c r="N240" s="30"/>
    </row>
    <row r="241" spans="1:14" ht="60" x14ac:dyDescent="0.25">
      <c r="A241" s="19" t="s">
        <v>992</v>
      </c>
      <c r="B241" s="17" t="s">
        <v>991</v>
      </c>
      <c r="C241" s="20">
        <v>1</v>
      </c>
      <c r="D241" s="18">
        <v>39.5</v>
      </c>
      <c r="E241" s="20" t="s">
        <v>213</v>
      </c>
      <c r="F241" s="17" t="s">
        <v>63</v>
      </c>
      <c r="G241" s="19" t="s">
        <v>62</v>
      </c>
      <c r="H241" s="18">
        <v>7.4400000000000013</v>
      </c>
      <c r="I241" s="17" t="s">
        <v>56</v>
      </c>
      <c r="J241" s="17" t="s">
        <v>55</v>
      </c>
      <c r="K241" s="17"/>
      <c r="L241" s="17"/>
      <c r="M241" s="16" t="str">
        <f>HYPERLINK("http://slimages.macys.com/is/image/MCY/19179536 ")</f>
        <v xml:space="preserve">http://slimages.macys.com/is/image/MCY/19179536 </v>
      </c>
      <c r="N241" s="30"/>
    </row>
    <row r="242" spans="1:14" ht="60" x14ac:dyDescent="0.25">
      <c r="A242" s="19" t="s">
        <v>990</v>
      </c>
      <c r="B242" s="17" t="s">
        <v>989</v>
      </c>
      <c r="C242" s="20">
        <v>1</v>
      </c>
      <c r="D242" s="18">
        <v>39.5</v>
      </c>
      <c r="E242" s="20" t="s">
        <v>213</v>
      </c>
      <c r="F242" s="17" t="s">
        <v>63</v>
      </c>
      <c r="G242" s="19" t="s">
        <v>57</v>
      </c>
      <c r="H242" s="18">
        <v>7.4400000000000013</v>
      </c>
      <c r="I242" s="17" t="s">
        <v>56</v>
      </c>
      <c r="J242" s="17" t="s">
        <v>55</v>
      </c>
      <c r="K242" s="17"/>
      <c r="L242" s="17"/>
      <c r="M242" s="16" t="str">
        <f>HYPERLINK("http://slimages.macys.com/is/image/MCY/19179536 ")</f>
        <v xml:space="preserve">http://slimages.macys.com/is/image/MCY/19179536 </v>
      </c>
      <c r="N242" s="30"/>
    </row>
    <row r="243" spans="1:14" ht="60" x14ac:dyDescent="0.25">
      <c r="A243" s="19" t="s">
        <v>988</v>
      </c>
      <c r="B243" s="17" t="s">
        <v>987</v>
      </c>
      <c r="C243" s="20">
        <v>1</v>
      </c>
      <c r="D243" s="18">
        <v>27.3</v>
      </c>
      <c r="E243" s="20" t="s">
        <v>191</v>
      </c>
      <c r="F243" s="17" t="s">
        <v>28</v>
      </c>
      <c r="G243" s="19" t="s">
        <v>57</v>
      </c>
      <c r="H243" s="18">
        <v>7.120000000000001</v>
      </c>
      <c r="I243" s="17" t="s">
        <v>42</v>
      </c>
      <c r="J243" s="17" t="s">
        <v>41</v>
      </c>
      <c r="K243" s="17"/>
      <c r="L243" s="17"/>
      <c r="M243" s="16" t="str">
        <f>HYPERLINK("http://slimages.macys.com/is/image/MCY/18757221 ")</f>
        <v xml:space="preserve">http://slimages.macys.com/is/image/MCY/18757221 </v>
      </c>
      <c r="N243" s="30"/>
    </row>
    <row r="244" spans="1:14" ht="60" x14ac:dyDescent="0.25">
      <c r="A244" s="19" t="s">
        <v>986</v>
      </c>
      <c r="B244" s="17" t="s">
        <v>985</v>
      </c>
      <c r="C244" s="20">
        <v>10</v>
      </c>
      <c r="D244" s="18">
        <v>27.3</v>
      </c>
      <c r="E244" s="20" t="s">
        <v>191</v>
      </c>
      <c r="F244" s="17" t="s">
        <v>63</v>
      </c>
      <c r="G244" s="19" t="s">
        <v>74</v>
      </c>
      <c r="H244" s="18">
        <v>7.120000000000001</v>
      </c>
      <c r="I244" s="17" t="s">
        <v>42</v>
      </c>
      <c r="J244" s="17" t="s">
        <v>41</v>
      </c>
      <c r="K244" s="17"/>
      <c r="L244" s="17"/>
      <c r="M244" s="16" t="str">
        <f>HYPERLINK("http://slimages.macys.com/is/image/MCY/18757221 ")</f>
        <v xml:space="preserve">http://slimages.macys.com/is/image/MCY/18757221 </v>
      </c>
      <c r="N244" s="30"/>
    </row>
    <row r="245" spans="1:14" ht="60" x14ac:dyDescent="0.25">
      <c r="A245" s="19" t="s">
        <v>984</v>
      </c>
      <c r="B245" s="17" t="s">
        <v>983</v>
      </c>
      <c r="C245" s="20">
        <v>1</v>
      </c>
      <c r="D245" s="18">
        <v>35</v>
      </c>
      <c r="E245" s="20" t="s">
        <v>982</v>
      </c>
      <c r="F245" s="17" t="s">
        <v>51</v>
      </c>
      <c r="G245" s="19" t="s">
        <v>271</v>
      </c>
      <c r="H245" s="18">
        <v>6</v>
      </c>
      <c r="I245" s="17" t="s">
        <v>550</v>
      </c>
      <c r="J245" s="17" t="s">
        <v>981</v>
      </c>
      <c r="K245" s="17"/>
      <c r="L245" s="17"/>
      <c r="M245" s="16" t="str">
        <f>HYPERLINK("http://slimages.macys.com/is/image/MCY/17644571 ")</f>
        <v xml:space="preserve">http://slimages.macys.com/is/image/MCY/17644571 </v>
      </c>
      <c r="N245" s="30"/>
    </row>
    <row r="246" spans="1:14" ht="60" x14ac:dyDescent="0.25">
      <c r="A246" s="19" t="s">
        <v>980</v>
      </c>
      <c r="B246" s="17" t="s">
        <v>979</v>
      </c>
      <c r="C246" s="20">
        <v>1</v>
      </c>
      <c r="D246" s="18">
        <v>25</v>
      </c>
      <c r="E246" s="20" t="s">
        <v>978</v>
      </c>
      <c r="F246" s="17" t="s">
        <v>28</v>
      </c>
      <c r="G246" s="19" t="s">
        <v>62</v>
      </c>
      <c r="H246" s="18">
        <v>5.86</v>
      </c>
      <c r="I246" s="17" t="s">
        <v>16</v>
      </c>
      <c r="J246" s="17" t="s">
        <v>15</v>
      </c>
      <c r="K246" s="17"/>
      <c r="L246" s="17"/>
      <c r="M246" s="16" t="str">
        <f>HYPERLINK("http://slimages.macys.com/is/image/MCY/19122031 ")</f>
        <v xml:space="preserve">http://slimages.macys.com/is/image/MCY/19122031 </v>
      </c>
      <c r="N246" s="30"/>
    </row>
    <row r="247" spans="1:14" ht="60" x14ac:dyDescent="0.25">
      <c r="A247" s="19" t="s">
        <v>977</v>
      </c>
      <c r="B247" s="17" t="s">
        <v>976</v>
      </c>
      <c r="C247" s="20">
        <v>1</v>
      </c>
      <c r="D247" s="18">
        <v>25</v>
      </c>
      <c r="E247" s="20" t="s">
        <v>975</v>
      </c>
      <c r="F247" s="17" t="s">
        <v>23</v>
      </c>
      <c r="G247" s="19" t="s">
        <v>50</v>
      </c>
      <c r="H247" s="18">
        <v>5.8533333333333335</v>
      </c>
      <c r="I247" s="17" t="s">
        <v>16</v>
      </c>
      <c r="J247" s="17" t="s">
        <v>15</v>
      </c>
      <c r="K247" s="17"/>
      <c r="L247" s="17"/>
      <c r="M247" s="16" t="str">
        <f>HYPERLINK("http://slimages.macys.com/is/image/MCY/18053798 ")</f>
        <v xml:space="preserve">http://slimages.macys.com/is/image/MCY/18053798 </v>
      </c>
      <c r="N247" s="30"/>
    </row>
    <row r="248" spans="1:14" ht="60" x14ac:dyDescent="0.25">
      <c r="A248" s="19" t="s">
        <v>974</v>
      </c>
      <c r="B248" s="17" t="s">
        <v>973</v>
      </c>
      <c r="C248" s="20">
        <v>1</v>
      </c>
      <c r="D248" s="18">
        <v>25</v>
      </c>
      <c r="E248" s="20" t="s">
        <v>29</v>
      </c>
      <c r="F248" s="17" t="s">
        <v>149</v>
      </c>
      <c r="G248" s="19" t="s">
        <v>62</v>
      </c>
      <c r="H248" s="18">
        <v>5.8533333333333335</v>
      </c>
      <c r="I248" s="17" t="s">
        <v>16</v>
      </c>
      <c r="J248" s="17" t="s">
        <v>15</v>
      </c>
      <c r="K248" s="17"/>
      <c r="L248" s="17"/>
      <c r="M248" s="16" t="str">
        <f>HYPERLINK("http://slimages.macys.com/is/image/MCY/19060090 ")</f>
        <v xml:space="preserve">http://slimages.macys.com/is/image/MCY/19060090 </v>
      </c>
      <c r="N248" s="30"/>
    </row>
    <row r="249" spans="1:14" ht="60" x14ac:dyDescent="0.25">
      <c r="A249" s="19" t="s">
        <v>972</v>
      </c>
      <c r="B249" s="17" t="s">
        <v>971</v>
      </c>
      <c r="C249" s="20">
        <v>1</v>
      </c>
      <c r="D249" s="18">
        <v>25</v>
      </c>
      <c r="E249" s="20" t="s">
        <v>968</v>
      </c>
      <c r="F249" s="17" t="s">
        <v>508</v>
      </c>
      <c r="G249" s="19" t="s">
        <v>22</v>
      </c>
      <c r="H249" s="18">
        <v>5.8533333333333335</v>
      </c>
      <c r="I249" s="17" t="s">
        <v>16</v>
      </c>
      <c r="J249" s="17" t="s">
        <v>15</v>
      </c>
      <c r="K249" s="17"/>
      <c r="L249" s="17"/>
      <c r="M249" s="16" t="str">
        <f>HYPERLINK("http://slimages.macys.com/is/image/MCY/18863498 ")</f>
        <v xml:space="preserve">http://slimages.macys.com/is/image/MCY/18863498 </v>
      </c>
      <c r="N249" s="30"/>
    </row>
    <row r="250" spans="1:14" ht="60" x14ac:dyDescent="0.25">
      <c r="A250" s="19" t="s">
        <v>970</v>
      </c>
      <c r="B250" s="17" t="s">
        <v>969</v>
      </c>
      <c r="C250" s="20">
        <v>1</v>
      </c>
      <c r="D250" s="18">
        <v>25</v>
      </c>
      <c r="E250" s="20" t="s">
        <v>968</v>
      </c>
      <c r="F250" s="17" t="s">
        <v>508</v>
      </c>
      <c r="G250" s="19" t="s">
        <v>62</v>
      </c>
      <c r="H250" s="18">
        <v>5.8533333333333335</v>
      </c>
      <c r="I250" s="17" t="s">
        <v>16</v>
      </c>
      <c r="J250" s="17" t="s">
        <v>15</v>
      </c>
      <c r="K250" s="17"/>
      <c r="L250" s="17"/>
      <c r="M250" s="16" t="str">
        <f>HYPERLINK("http://slimages.macys.com/is/image/MCY/18863498 ")</f>
        <v xml:space="preserve">http://slimages.macys.com/is/image/MCY/18863498 </v>
      </c>
      <c r="N250" s="30"/>
    </row>
    <row r="251" spans="1:14" ht="60" x14ac:dyDescent="0.25">
      <c r="A251" s="19" t="s">
        <v>967</v>
      </c>
      <c r="B251" s="17" t="s">
        <v>966</v>
      </c>
      <c r="C251" s="20">
        <v>1</v>
      </c>
      <c r="D251" s="18">
        <v>25</v>
      </c>
      <c r="E251" s="20" t="s">
        <v>965</v>
      </c>
      <c r="F251" s="17" t="s">
        <v>23</v>
      </c>
      <c r="G251" s="19" t="s">
        <v>50</v>
      </c>
      <c r="H251" s="18">
        <v>5.8533333333333335</v>
      </c>
      <c r="I251" s="17" t="s">
        <v>16</v>
      </c>
      <c r="J251" s="17" t="s">
        <v>15</v>
      </c>
      <c r="K251" s="17"/>
      <c r="L251" s="17"/>
      <c r="M251" s="16" t="str">
        <f>HYPERLINK("http://slimages.macys.com/is/image/MCY/19419444 ")</f>
        <v xml:space="preserve">http://slimages.macys.com/is/image/MCY/19419444 </v>
      </c>
      <c r="N251" s="30"/>
    </row>
    <row r="252" spans="1:14" ht="60" x14ac:dyDescent="0.25">
      <c r="A252" s="19" t="s">
        <v>964</v>
      </c>
      <c r="B252" s="17" t="s">
        <v>963</v>
      </c>
      <c r="C252" s="20">
        <v>1</v>
      </c>
      <c r="D252" s="18">
        <v>25</v>
      </c>
      <c r="E252" s="20" t="s">
        <v>962</v>
      </c>
      <c r="F252" s="17" t="s">
        <v>149</v>
      </c>
      <c r="G252" s="19" t="s">
        <v>17</v>
      </c>
      <c r="H252" s="18">
        <v>3.813333333333333</v>
      </c>
      <c r="I252" s="17" t="s">
        <v>16</v>
      </c>
      <c r="J252" s="17" t="s">
        <v>15</v>
      </c>
      <c r="K252" s="17"/>
      <c r="L252" s="17"/>
      <c r="M252" s="16" t="str">
        <f>HYPERLINK("http://slimages.macys.com/is/image/MCY/18628115 ")</f>
        <v xml:space="preserve">http://slimages.macys.com/is/image/MCY/18628115 </v>
      </c>
      <c r="N252" s="30"/>
    </row>
    <row r="253" spans="1:14" ht="60" x14ac:dyDescent="0.25">
      <c r="A253" s="19" t="s">
        <v>961</v>
      </c>
      <c r="B253" s="17" t="s">
        <v>960</v>
      </c>
      <c r="C253" s="20">
        <v>1</v>
      </c>
      <c r="D253" s="18">
        <v>275</v>
      </c>
      <c r="E253" s="20" t="s">
        <v>955</v>
      </c>
      <c r="F253" s="17" t="s">
        <v>562</v>
      </c>
      <c r="G253" s="19" t="s">
        <v>197</v>
      </c>
      <c r="H253" s="18">
        <v>75</v>
      </c>
      <c r="I253" s="17" t="s">
        <v>133</v>
      </c>
      <c r="J253" s="17" t="s">
        <v>953</v>
      </c>
      <c r="K253" s="17"/>
      <c r="L253" s="17"/>
      <c r="M253" s="16"/>
      <c r="N253" s="30"/>
    </row>
    <row r="254" spans="1:14" ht="60" x14ac:dyDescent="0.25">
      <c r="A254" s="19" t="s">
        <v>959</v>
      </c>
      <c r="B254" s="17" t="s">
        <v>958</v>
      </c>
      <c r="C254" s="20">
        <v>1</v>
      </c>
      <c r="D254" s="18">
        <v>275</v>
      </c>
      <c r="E254" s="20" t="s">
        <v>955</v>
      </c>
      <c r="F254" s="17" t="s">
        <v>562</v>
      </c>
      <c r="G254" s="19" t="s">
        <v>74</v>
      </c>
      <c r="H254" s="18">
        <v>75</v>
      </c>
      <c r="I254" s="17" t="s">
        <v>133</v>
      </c>
      <c r="J254" s="17" t="s">
        <v>953</v>
      </c>
      <c r="K254" s="17"/>
      <c r="L254" s="17"/>
      <c r="M254" s="16"/>
      <c r="N254" s="30"/>
    </row>
    <row r="255" spans="1:14" ht="60" x14ac:dyDescent="0.25">
      <c r="A255" s="19" t="s">
        <v>957</v>
      </c>
      <c r="B255" s="17" t="s">
        <v>956</v>
      </c>
      <c r="C255" s="20">
        <v>1</v>
      </c>
      <c r="D255" s="18">
        <v>275</v>
      </c>
      <c r="E255" s="20" t="s">
        <v>955</v>
      </c>
      <c r="F255" s="17" t="s">
        <v>562</v>
      </c>
      <c r="G255" s="19" t="s">
        <v>954</v>
      </c>
      <c r="H255" s="18">
        <v>75</v>
      </c>
      <c r="I255" s="17" t="s">
        <v>133</v>
      </c>
      <c r="J255" s="17" t="s">
        <v>953</v>
      </c>
      <c r="K255" s="17"/>
      <c r="L255" s="17"/>
      <c r="M255" s="16"/>
      <c r="N255" s="30"/>
    </row>
    <row r="256" spans="1:14" ht="36" x14ac:dyDescent="0.25">
      <c r="A256" s="19" t="s">
        <v>952</v>
      </c>
      <c r="B256" s="17" t="s">
        <v>951</v>
      </c>
      <c r="C256" s="20">
        <v>1</v>
      </c>
      <c r="D256" s="18">
        <v>265</v>
      </c>
      <c r="E256" s="20">
        <v>313608182000010</v>
      </c>
      <c r="F256" s="17" t="s">
        <v>51</v>
      </c>
      <c r="G256" s="19" t="s">
        <v>698</v>
      </c>
      <c r="H256" s="18">
        <v>73.333333333333343</v>
      </c>
      <c r="I256" s="17" t="s">
        <v>158</v>
      </c>
      <c r="J256" s="17" t="s">
        <v>946</v>
      </c>
      <c r="K256" s="17"/>
      <c r="L256" s="17"/>
      <c r="M256" s="16"/>
      <c r="N256" s="30"/>
    </row>
    <row r="257" spans="1:14" ht="36" x14ac:dyDescent="0.25">
      <c r="A257" s="19" t="s">
        <v>950</v>
      </c>
      <c r="B257" s="17" t="s">
        <v>949</v>
      </c>
      <c r="C257" s="20">
        <v>1</v>
      </c>
      <c r="D257" s="18">
        <v>265</v>
      </c>
      <c r="E257" s="20">
        <v>313608182000010</v>
      </c>
      <c r="F257" s="17" t="s">
        <v>51</v>
      </c>
      <c r="G257" s="19" t="s">
        <v>658</v>
      </c>
      <c r="H257" s="18">
        <v>73.333333333333343</v>
      </c>
      <c r="I257" s="17" t="s">
        <v>158</v>
      </c>
      <c r="J257" s="17" t="s">
        <v>946</v>
      </c>
      <c r="K257" s="17"/>
      <c r="L257" s="17"/>
      <c r="M257" s="16"/>
      <c r="N257" s="30"/>
    </row>
    <row r="258" spans="1:14" ht="36" x14ac:dyDescent="0.25">
      <c r="A258" s="19" t="s">
        <v>948</v>
      </c>
      <c r="B258" s="17" t="s">
        <v>947</v>
      </c>
      <c r="C258" s="20">
        <v>3</v>
      </c>
      <c r="D258" s="18">
        <v>265</v>
      </c>
      <c r="E258" s="20">
        <v>313608182000010</v>
      </c>
      <c r="F258" s="17" t="s">
        <v>51</v>
      </c>
      <c r="G258" s="19" t="s">
        <v>898</v>
      </c>
      <c r="H258" s="18">
        <v>73.333333333333343</v>
      </c>
      <c r="I258" s="17" t="s">
        <v>158</v>
      </c>
      <c r="J258" s="17" t="s">
        <v>946</v>
      </c>
      <c r="K258" s="17"/>
      <c r="L258" s="17"/>
      <c r="M258" s="16"/>
      <c r="N258" s="30"/>
    </row>
    <row r="259" spans="1:14" ht="48" x14ac:dyDescent="0.25">
      <c r="A259" s="19" t="s">
        <v>945</v>
      </c>
      <c r="B259" s="17" t="s">
        <v>944</v>
      </c>
      <c r="C259" s="20">
        <v>1</v>
      </c>
      <c r="D259" s="18">
        <v>249</v>
      </c>
      <c r="E259" s="20" t="s">
        <v>943</v>
      </c>
      <c r="F259" s="17" t="s">
        <v>18</v>
      </c>
      <c r="G259" s="19" t="s">
        <v>857</v>
      </c>
      <c r="H259" s="18">
        <v>58.1</v>
      </c>
      <c r="I259" s="17" t="s">
        <v>854</v>
      </c>
      <c r="J259" s="17" t="s">
        <v>496</v>
      </c>
      <c r="K259" s="17"/>
      <c r="L259" s="17"/>
      <c r="M259" s="16"/>
      <c r="N259" s="30"/>
    </row>
    <row r="260" spans="1:14" ht="48" x14ac:dyDescent="0.25">
      <c r="A260" s="19" t="s">
        <v>942</v>
      </c>
      <c r="B260" s="17" t="s">
        <v>941</v>
      </c>
      <c r="C260" s="20">
        <v>1</v>
      </c>
      <c r="D260" s="18">
        <v>249</v>
      </c>
      <c r="E260" s="20" t="s">
        <v>940</v>
      </c>
      <c r="F260" s="17" t="s">
        <v>51</v>
      </c>
      <c r="G260" s="19" t="s">
        <v>698</v>
      </c>
      <c r="H260" s="18">
        <v>58.1</v>
      </c>
      <c r="I260" s="17" t="s">
        <v>854</v>
      </c>
      <c r="J260" s="17" t="s">
        <v>496</v>
      </c>
      <c r="K260" s="17"/>
      <c r="L260" s="17"/>
      <c r="M260" s="16"/>
      <c r="N260" s="30"/>
    </row>
    <row r="261" spans="1:14" ht="48" x14ac:dyDescent="0.25">
      <c r="A261" s="19" t="s">
        <v>939</v>
      </c>
      <c r="B261" s="17" t="s">
        <v>938</v>
      </c>
      <c r="C261" s="20">
        <v>1</v>
      </c>
      <c r="D261" s="18">
        <v>199</v>
      </c>
      <c r="E261" s="20" t="s">
        <v>935</v>
      </c>
      <c r="F261" s="17" t="s">
        <v>282</v>
      </c>
      <c r="G261" s="19" t="s">
        <v>857</v>
      </c>
      <c r="H261" s="18">
        <v>50</v>
      </c>
      <c r="I261" s="17" t="s">
        <v>854</v>
      </c>
      <c r="J261" s="17" t="s">
        <v>496</v>
      </c>
      <c r="K261" s="17"/>
      <c r="L261" s="17"/>
      <c r="M261" s="16"/>
      <c r="N261" s="30"/>
    </row>
    <row r="262" spans="1:14" ht="48" x14ac:dyDescent="0.25">
      <c r="A262" s="19" t="s">
        <v>937</v>
      </c>
      <c r="B262" s="17" t="s">
        <v>936</v>
      </c>
      <c r="C262" s="20">
        <v>1</v>
      </c>
      <c r="D262" s="18">
        <v>199</v>
      </c>
      <c r="E262" s="20" t="s">
        <v>935</v>
      </c>
      <c r="F262" s="17" t="s">
        <v>282</v>
      </c>
      <c r="G262" s="19" t="s">
        <v>898</v>
      </c>
      <c r="H262" s="18">
        <v>50</v>
      </c>
      <c r="I262" s="17" t="s">
        <v>854</v>
      </c>
      <c r="J262" s="17" t="s">
        <v>496</v>
      </c>
      <c r="K262" s="17"/>
      <c r="L262" s="17"/>
      <c r="M262" s="16"/>
      <c r="N262" s="30"/>
    </row>
    <row r="263" spans="1:14" ht="48" x14ac:dyDescent="0.25">
      <c r="A263" s="19" t="s">
        <v>934</v>
      </c>
      <c r="B263" s="17" t="s">
        <v>933</v>
      </c>
      <c r="C263" s="20">
        <v>1</v>
      </c>
      <c r="D263" s="18">
        <v>199</v>
      </c>
      <c r="E263" s="20" t="s">
        <v>932</v>
      </c>
      <c r="F263" s="17" t="s">
        <v>931</v>
      </c>
      <c r="G263" s="19" t="s">
        <v>658</v>
      </c>
      <c r="H263" s="18">
        <v>46.433333333333337</v>
      </c>
      <c r="I263" s="17" t="s">
        <v>854</v>
      </c>
      <c r="J263" s="17" t="s">
        <v>496</v>
      </c>
      <c r="K263" s="17"/>
      <c r="L263" s="17"/>
      <c r="M263" s="16"/>
      <c r="N263" s="30"/>
    </row>
    <row r="264" spans="1:14" ht="48" x14ac:dyDescent="0.25">
      <c r="A264" s="19" t="s">
        <v>930</v>
      </c>
      <c r="B264" s="17" t="s">
        <v>929</v>
      </c>
      <c r="C264" s="20">
        <v>1</v>
      </c>
      <c r="D264" s="18">
        <v>199</v>
      </c>
      <c r="E264" s="20" t="s">
        <v>928</v>
      </c>
      <c r="F264" s="17"/>
      <c r="G264" s="19" t="s">
        <v>698</v>
      </c>
      <c r="H264" s="18">
        <v>46.433333333333337</v>
      </c>
      <c r="I264" s="17" t="s">
        <v>854</v>
      </c>
      <c r="J264" s="17" t="s">
        <v>496</v>
      </c>
      <c r="K264" s="17"/>
      <c r="L264" s="17"/>
      <c r="M264" s="16"/>
      <c r="N264" s="30"/>
    </row>
    <row r="265" spans="1:14" ht="48" x14ac:dyDescent="0.25">
      <c r="A265" s="19" t="s">
        <v>927</v>
      </c>
      <c r="B265" s="17" t="s">
        <v>926</v>
      </c>
      <c r="C265" s="20">
        <v>1</v>
      </c>
      <c r="D265" s="18">
        <v>179</v>
      </c>
      <c r="E265" s="20" t="s">
        <v>923</v>
      </c>
      <c r="F265" s="17" t="s">
        <v>562</v>
      </c>
      <c r="G265" s="19" t="s">
        <v>749</v>
      </c>
      <c r="H265" s="18">
        <v>41.766666666666666</v>
      </c>
      <c r="I265" s="17" t="s">
        <v>854</v>
      </c>
      <c r="J265" s="17" t="s">
        <v>496</v>
      </c>
      <c r="K265" s="17"/>
      <c r="L265" s="17"/>
      <c r="M265" s="16"/>
      <c r="N265" s="30"/>
    </row>
    <row r="266" spans="1:14" ht="48" x14ac:dyDescent="0.25">
      <c r="A266" s="19" t="s">
        <v>925</v>
      </c>
      <c r="B266" s="17" t="s">
        <v>924</v>
      </c>
      <c r="C266" s="20">
        <v>1</v>
      </c>
      <c r="D266" s="18">
        <v>179</v>
      </c>
      <c r="E266" s="20" t="s">
        <v>923</v>
      </c>
      <c r="F266" s="17" t="s">
        <v>562</v>
      </c>
      <c r="G266" s="19" t="s">
        <v>898</v>
      </c>
      <c r="H266" s="18">
        <v>41.766666666666666</v>
      </c>
      <c r="I266" s="17" t="s">
        <v>854</v>
      </c>
      <c r="J266" s="17" t="s">
        <v>496</v>
      </c>
      <c r="K266" s="17"/>
      <c r="L266" s="17"/>
      <c r="M266" s="16"/>
      <c r="N266" s="30"/>
    </row>
    <row r="267" spans="1:14" ht="48" x14ac:dyDescent="0.25">
      <c r="A267" s="19" t="s">
        <v>922</v>
      </c>
      <c r="B267" s="17" t="s">
        <v>921</v>
      </c>
      <c r="C267" s="20">
        <v>1</v>
      </c>
      <c r="D267" s="18">
        <v>179</v>
      </c>
      <c r="E267" s="20" t="s">
        <v>920</v>
      </c>
      <c r="F267" s="17" t="s">
        <v>919</v>
      </c>
      <c r="G267" s="19" t="s">
        <v>749</v>
      </c>
      <c r="H267" s="18">
        <v>41.766666666666666</v>
      </c>
      <c r="I267" s="17" t="s">
        <v>854</v>
      </c>
      <c r="J267" s="17" t="s">
        <v>496</v>
      </c>
      <c r="K267" s="17"/>
      <c r="L267" s="17"/>
      <c r="M267" s="16"/>
      <c r="N267" s="30"/>
    </row>
    <row r="268" spans="1:14" ht="48" x14ac:dyDescent="0.25">
      <c r="A268" s="19" t="s">
        <v>918</v>
      </c>
      <c r="B268" s="17" t="s">
        <v>917</v>
      </c>
      <c r="C268" s="20">
        <v>1</v>
      </c>
      <c r="D268" s="18">
        <v>109.99</v>
      </c>
      <c r="E268" s="20">
        <v>50040001</v>
      </c>
      <c r="F268" s="17" t="s">
        <v>164</v>
      </c>
      <c r="G268" s="19" t="s">
        <v>916</v>
      </c>
      <c r="H268" s="18">
        <v>32</v>
      </c>
      <c r="I268" s="17" t="s">
        <v>879</v>
      </c>
      <c r="J268" s="17" t="s">
        <v>850</v>
      </c>
      <c r="K268" s="17"/>
      <c r="L268" s="17"/>
      <c r="M268" s="16"/>
      <c r="N268" s="30"/>
    </row>
    <row r="269" spans="1:14" ht="48" x14ac:dyDescent="0.25">
      <c r="A269" s="19" t="s">
        <v>915</v>
      </c>
      <c r="B269" s="17" t="s">
        <v>914</v>
      </c>
      <c r="C269" s="20">
        <v>1</v>
      </c>
      <c r="D269" s="18">
        <v>109.99</v>
      </c>
      <c r="E269" s="20">
        <v>50039717</v>
      </c>
      <c r="F269" s="17" t="s">
        <v>28</v>
      </c>
      <c r="G269" s="19" t="s">
        <v>880</v>
      </c>
      <c r="H269" s="18">
        <v>32</v>
      </c>
      <c r="I269" s="17" t="s">
        <v>879</v>
      </c>
      <c r="J269" s="17" t="s">
        <v>850</v>
      </c>
      <c r="K269" s="17"/>
      <c r="L269" s="17"/>
      <c r="M269" s="16"/>
      <c r="N269" s="30"/>
    </row>
    <row r="270" spans="1:14" ht="48" x14ac:dyDescent="0.25">
      <c r="A270" s="19" t="s">
        <v>913</v>
      </c>
      <c r="B270" s="17" t="s">
        <v>912</v>
      </c>
      <c r="C270" s="20">
        <v>1</v>
      </c>
      <c r="D270" s="18">
        <v>109.99</v>
      </c>
      <c r="E270" s="20">
        <v>50040079</v>
      </c>
      <c r="F270" s="17" t="s">
        <v>380</v>
      </c>
      <c r="G270" s="19" t="s">
        <v>698</v>
      </c>
      <c r="H270" s="18">
        <v>30.666666666666664</v>
      </c>
      <c r="I270" s="17" t="s">
        <v>854</v>
      </c>
      <c r="J270" s="17" t="s">
        <v>850</v>
      </c>
      <c r="K270" s="17"/>
      <c r="L270" s="17"/>
      <c r="M270" s="16"/>
      <c r="N270" s="30"/>
    </row>
    <row r="271" spans="1:14" ht="48" x14ac:dyDescent="0.25">
      <c r="A271" s="19" t="s">
        <v>911</v>
      </c>
      <c r="B271" s="17" t="s">
        <v>910</v>
      </c>
      <c r="C271" s="20">
        <v>1</v>
      </c>
      <c r="D271" s="18">
        <v>109.99</v>
      </c>
      <c r="E271" s="20">
        <v>50039983</v>
      </c>
      <c r="F271" s="17" t="s">
        <v>28</v>
      </c>
      <c r="G271" s="19" t="s">
        <v>698</v>
      </c>
      <c r="H271" s="18">
        <v>30.666666666666664</v>
      </c>
      <c r="I271" s="17" t="s">
        <v>854</v>
      </c>
      <c r="J271" s="17" t="s">
        <v>850</v>
      </c>
      <c r="K271" s="17"/>
      <c r="L271" s="17"/>
      <c r="M271" s="16"/>
      <c r="N271" s="30"/>
    </row>
    <row r="272" spans="1:14" ht="48" x14ac:dyDescent="0.25">
      <c r="A272" s="19" t="s">
        <v>909</v>
      </c>
      <c r="B272" s="17" t="s">
        <v>908</v>
      </c>
      <c r="C272" s="20">
        <v>1</v>
      </c>
      <c r="D272" s="18">
        <v>109.99</v>
      </c>
      <c r="E272" s="20">
        <v>50039511</v>
      </c>
      <c r="F272" s="17" t="s">
        <v>51</v>
      </c>
      <c r="G272" s="19" t="s">
        <v>898</v>
      </c>
      <c r="H272" s="18">
        <v>30.666666666666664</v>
      </c>
      <c r="I272" s="17" t="s">
        <v>854</v>
      </c>
      <c r="J272" s="17" t="s">
        <v>850</v>
      </c>
      <c r="K272" s="17"/>
      <c r="L272" s="17"/>
      <c r="M272" s="16"/>
      <c r="N272" s="30"/>
    </row>
    <row r="273" spans="1:14" ht="48" x14ac:dyDescent="0.25">
      <c r="A273" s="19" t="s">
        <v>907</v>
      </c>
      <c r="B273" s="17" t="s">
        <v>906</v>
      </c>
      <c r="C273" s="20">
        <v>1</v>
      </c>
      <c r="D273" s="18">
        <v>109.99</v>
      </c>
      <c r="E273" s="20">
        <v>50039511</v>
      </c>
      <c r="F273" s="17" t="s">
        <v>51</v>
      </c>
      <c r="G273" s="19" t="s">
        <v>96</v>
      </c>
      <c r="H273" s="18">
        <v>30.666666666666664</v>
      </c>
      <c r="I273" s="17" t="s">
        <v>854</v>
      </c>
      <c r="J273" s="17" t="s">
        <v>850</v>
      </c>
      <c r="K273" s="17"/>
      <c r="L273" s="17"/>
      <c r="M273" s="16"/>
      <c r="N273" s="30"/>
    </row>
    <row r="274" spans="1:14" ht="36" x14ac:dyDescent="0.25">
      <c r="A274" s="19" t="s">
        <v>905</v>
      </c>
      <c r="B274" s="17" t="s">
        <v>904</v>
      </c>
      <c r="C274" s="20">
        <v>7</v>
      </c>
      <c r="D274" s="18">
        <v>128</v>
      </c>
      <c r="E274" s="20" t="s">
        <v>903</v>
      </c>
      <c r="F274" s="17" t="s">
        <v>51</v>
      </c>
      <c r="G274" s="19" t="s">
        <v>74</v>
      </c>
      <c r="H274" s="18">
        <v>29.866666666666671</v>
      </c>
      <c r="I274" s="17" t="s">
        <v>133</v>
      </c>
      <c r="J274" s="17" t="s">
        <v>132</v>
      </c>
      <c r="K274" s="17"/>
      <c r="L274" s="17"/>
      <c r="M274" s="16"/>
      <c r="N274" s="30"/>
    </row>
    <row r="275" spans="1:14" ht="48" x14ac:dyDescent="0.25">
      <c r="A275" s="19" t="s">
        <v>902</v>
      </c>
      <c r="B275" s="17" t="s">
        <v>901</v>
      </c>
      <c r="C275" s="20">
        <v>1</v>
      </c>
      <c r="D275" s="18">
        <v>89.99</v>
      </c>
      <c r="E275" s="20">
        <v>50039792</v>
      </c>
      <c r="F275" s="17" t="s">
        <v>508</v>
      </c>
      <c r="G275" s="19" t="s">
        <v>644</v>
      </c>
      <c r="H275" s="18">
        <v>26.666666666666668</v>
      </c>
      <c r="I275" s="17" t="s">
        <v>851</v>
      </c>
      <c r="J275" s="17" t="s">
        <v>850</v>
      </c>
      <c r="K275" s="17"/>
      <c r="L275" s="17"/>
      <c r="M275" s="16"/>
      <c r="N275" s="30"/>
    </row>
    <row r="276" spans="1:14" ht="48" x14ac:dyDescent="0.25">
      <c r="A276" s="19" t="s">
        <v>900</v>
      </c>
      <c r="B276" s="17" t="s">
        <v>899</v>
      </c>
      <c r="C276" s="20">
        <v>1</v>
      </c>
      <c r="D276" s="18">
        <v>89.99</v>
      </c>
      <c r="E276" s="20">
        <v>50039891</v>
      </c>
      <c r="F276" s="17" t="s">
        <v>51</v>
      </c>
      <c r="G276" s="19" t="s">
        <v>898</v>
      </c>
      <c r="H276" s="18">
        <v>26.666666666666668</v>
      </c>
      <c r="I276" s="17" t="s">
        <v>854</v>
      </c>
      <c r="J276" s="17" t="s">
        <v>850</v>
      </c>
      <c r="K276" s="17"/>
      <c r="L276" s="17"/>
      <c r="M276" s="16"/>
      <c r="N276" s="30"/>
    </row>
    <row r="277" spans="1:14" ht="48" x14ac:dyDescent="0.25">
      <c r="A277" s="19" t="s">
        <v>897</v>
      </c>
      <c r="B277" s="17" t="s">
        <v>896</v>
      </c>
      <c r="C277" s="20">
        <v>1</v>
      </c>
      <c r="D277" s="18">
        <v>89.99</v>
      </c>
      <c r="E277" s="20">
        <v>50039891</v>
      </c>
      <c r="F277" s="17" t="s">
        <v>51</v>
      </c>
      <c r="G277" s="19" t="s">
        <v>658</v>
      </c>
      <c r="H277" s="18">
        <v>26.666666666666668</v>
      </c>
      <c r="I277" s="17" t="s">
        <v>854</v>
      </c>
      <c r="J277" s="17" t="s">
        <v>850</v>
      </c>
      <c r="K277" s="17"/>
      <c r="L277" s="17"/>
      <c r="M277" s="16"/>
      <c r="N277" s="30"/>
    </row>
    <row r="278" spans="1:14" ht="48" x14ac:dyDescent="0.25">
      <c r="A278" s="19" t="s">
        <v>895</v>
      </c>
      <c r="B278" s="17" t="s">
        <v>894</v>
      </c>
      <c r="C278" s="20">
        <v>1</v>
      </c>
      <c r="D278" s="18">
        <v>89.99</v>
      </c>
      <c r="E278" s="20">
        <v>50039919</v>
      </c>
      <c r="F278" s="17" t="s">
        <v>282</v>
      </c>
      <c r="G278" s="19" t="s">
        <v>96</v>
      </c>
      <c r="H278" s="18">
        <v>26.666666666666668</v>
      </c>
      <c r="I278" s="17" t="s">
        <v>854</v>
      </c>
      <c r="J278" s="17" t="s">
        <v>850</v>
      </c>
      <c r="K278" s="17"/>
      <c r="L278" s="17"/>
      <c r="M278" s="16"/>
      <c r="N278" s="30"/>
    </row>
    <row r="279" spans="1:14" ht="48" x14ac:dyDescent="0.25">
      <c r="A279" s="19" t="s">
        <v>893</v>
      </c>
      <c r="B279" s="17" t="s">
        <v>892</v>
      </c>
      <c r="C279" s="20">
        <v>1</v>
      </c>
      <c r="D279" s="18">
        <v>89.99</v>
      </c>
      <c r="E279" s="20">
        <v>50039919</v>
      </c>
      <c r="F279" s="17" t="s">
        <v>282</v>
      </c>
      <c r="G279" s="19" t="s">
        <v>658</v>
      </c>
      <c r="H279" s="18">
        <v>26.666666666666668</v>
      </c>
      <c r="I279" s="17" t="s">
        <v>854</v>
      </c>
      <c r="J279" s="17" t="s">
        <v>850</v>
      </c>
      <c r="K279" s="17"/>
      <c r="L279" s="17"/>
      <c r="M279" s="16"/>
      <c r="N279" s="30"/>
    </row>
    <row r="280" spans="1:14" ht="48" x14ac:dyDescent="0.25">
      <c r="A280" s="19" t="s">
        <v>891</v>
      </c>
      <c r="B280" s="17" t="s">
        <v>890</v>
      </c>
      <c r="C280" s="20">
        <v>1</v>
      </c>
      <c r="D280" s="18">
        <v>89.99</v>
      </c>
      <c r="E280" s="20">
        <v>50039891</v>
      </c>
      <c r="F280" s="17" t="s">
        <v>51</v>
      </c>
      <c r="G280" s="19" t="s">
        <v>749</v>
      </c>
      <c r="H280" s="18">
        <v>26.666666666666668</v>
      </c>
      <c r="I280" s="17" t="s">
        <v>854</v>
      </c>
      <c r="J280" s="17" t="s">
        <v>850</v>
      </c>
      <c r="K280" s="17"/>
      <c r="L280" s="17"/>
      <c r="M280" s="16"/>
      <c r="N280" s="30"/>
    </row>
    <row r="281" spans="1:14" ht="48" x14ac:dyDescent="0.25">
      <c r="A281" s="19" t="s">
        <v>889</v>
      </c>
      <c r="B281" s="17" t="s">
        <v>888</v>
      </c>
      <c r="C281" s="20">
        <v>1</v>
      </c>
      <c r="D281" s="18">
        <v>89.99</v>
      </c>
      <c r="E281" s="20">
        <v>50039919</v>
      </c>
      <c r="F281" s="17" t="s">
        <v>282</v>
      </c>
      <c r="G281" s="19" t="s">
        <v>773</v>
      </c>
      <c r="H281" s="18">
        <v>26.666666666666668</v>
      </c>
      <c r="I281" s="17" t="s">
        <v>854</v>
      </c>
      <c r="J281" s="17" t="s">
        <v>850</v>
      </c>
      <c r="K281" s="17"/>
      <c r="L281" s="17"/>
      <c r="M281" s="16"/>
      <c r="N281" s="30"/>
    </row>
    <row r="282" spans="1:14" ht="48" x14ac:dyDescent="0.25">
      <c r="A282" s="19" t="s">
        <v>887</v>
      </c>
      <c r="B282" s="17" t="s">
        <v>886</v>
      </c>
      <c r="C282" s="20">
        <v>1</v>
      </c>
      <c r="D282" s="18">
        <v>89.99</v>
      </c>
      <c r="E282" s="20">
        <v>50039783</v>
      </c>
      <c r="F282" s="17" t="s">
        <v>508</v>
      </c>
      <c r="G282" s="19" t="s">
        <v>116</v>
      </c>
      <c r="H282" s="18">
        <v>26.666666666666668</v>
      </c>
      <c r="I282" s="17" t="s">
        <v>854</v>
      </c>
      <c r="J282" s="17" t="s">
        <v>850</v>
      </c>
      <c r="K282" s="17"/>
      <c r="L282" s="17"/>
      <c r="M282" s="16"/>
      <c r="N282" s="30"/>
    </row>
    <row r="283" spans="1:14" ht="48" x14ac:dyDescent="0.25">
      <c r="A283" s="19" t="s">
        <v>885</v>
      </c>
      <c r="B283" s="17" t="s">
        <v>884</v>
      </c>
      <c r="C283" s="20">
        <v>1</v>
      </c>
      <c r="D283" s="18">
        <v>89.99</v>
      </c>
      <c r="E283" s="20">
        <v>50039783</v>
      </c>
      <c r="F283" s="17" t="s">
        <v>508</v>
      </c>
      <c r="G283" s="19" t="s">
        <v>96</v>
      </c>
      <c r="H283" s="18">
        <v>26.666666666666668</v>
      </c>
      <c r="I283" s="17" t="s">
        <v>854</v>
      </c>
      <c r="J283" s="17" t="s">
        <v>850</v>
      </c>
      <c r="K283" s="17"/>
      <c r="L283" s="17"/>
      <c r="M283" s="16"/>
      <c r="N283" s="30"/>
    </row>
    <row r="284" spans="1:14" ht="48" x14ac:dyDescent="0.25">
      <c r="A284" s="19" t="s">
        <v>883</v>
      </c>
      <c r="B284" s="17" t="s">
        <v>882</v>
      </c>
      <c r="C284" s="20">
        <v>1</v>
      </c>
      <c r="D284" s="18">
        <v>109.99</v>
      </c>
      <c r="E284" s="20">
        <v>50039453</v>
      </c>
      <c r="F284" s="17" t="s">
        <v>881</v>
      </c>
      <c r="G284" s="19" t="s">
        <v>880</v>
      </c>
      <c r="H284" s="18">
        <v>26</v>
      </c>
      <c r="I284" s="17" t="s">
        <v>879</v>
      </c>
      <c r="J284" s="17" t="s">
        <v>850</v>
      </c>
      <c r="K284" s="17"/>
      <c r="L284" s="17"/>
      <c r="M284" s="16"/>
      <c r="N284" s="30"/>
    </row>
    <row r="285" spans="1:14" ht="48" x14ac:dyDescent="0.25">
      <c r="A285" s="19" t="s">
        <v>878</v>
      </c>
      <c r="B285" s="17" t="s">
        <v>877</v>
      </c>
      <c r="C285" s="20">
        <v>1</v>
      </c>
      <c r="D285" s="18">
        <v>89.99</v>
      </c>
      <c r="E285" s="20">
        <v>50039691</v>
      </c>
      <c r="F285" s="17" t="s">
        <v>555</v>
      </c>
      <c r="G285" s="19" t="s">
        <v>698</v>
      </c>
      <c r="H285" s="18">
        <v>23.333333333333336</v>
      </c>
      <c r="I285" s="17" t="s">
        <v>854</v>
      </c>
      <c r="J285" s="17" t="s">
        <v>850</v>
      </c>
      <c r="K285" s="17"/>
      <c r="L285" s="17"/>
      <c r="M285" s="16"/>
      <c r="N285" s="30"/>
    </row>
    <row r="286" spans="1:14" ht="48" x14ac:dyDescent="0.25">
      <c r="A286" s="19" t="s">
        <v>876</v>
      </c>
      <c r="B286" s="17" t="s">
        <v>875</v>
      </c>
      <c r="C286" s="20">
        <v>1</v>
      </c>
      <c r="D286" s="18">
        <v>89.99</v>
      </c>
      <c r="E286" s="20">
        <v>50039672</v>
      </c>
      <c r="F286" s="17" t="s">
        <v>28</v>
      </c>
      <c r="G286" s="19" t="s">
        <v>874</v>
      </c>
      <c r="H286" s="18">
        <v>23.333333333333336</v>
      </c>
      <c r="I286" s="17" t="s">
        <v>851</v>
      </c>
      <c r="J286" s="17" t="s">
        <v>850</v>
      </c>
      <c r="K286" s="17"/>
      <c r="L286" s="17"/>
      <c r="M286" s="16"/>
      <c r="N286" s="30"/>
    </row>
    <row r="287" spans="1:14" ht="48" x14ac:dyDescent="0.25">
      <c r="A287" s="19" t="s">
        <v>873</v>
      </c>
      <c r="B287" s="17" t="s">
        <v>872</v>
      </c>
      <c r="C287" s="20">
        <v>1</v>
      </c>
      <c r="D287" s="18">
        <v>89.99</v>
      </c>
      <c r="E287" s="20">
        <v>50039647</v>
      </c>
      <c r="F287" s="17" t="s">
        <v>726</v>
      </c>
      <c r="G287" s="19" t="s">
        <v>658</v>
      </c>
      <c r="H287" s="18">
        <v>23.333333333333336</v>
      </c>
      <c r="I287" s="17" t="s">
        <v>854</v>
      </c>
      <c r="J287" s="17" t="s">
        <v>850</v>
      </c>
      <c r="K287" s="17"/>
      <c r="L287" s="17"/>
      <c r="M287" s="16"/>
      <c r="N287" s="30"/>
    </row>
    <row r="288" spans="1:14" ht="48" x14ac:dyDescent="0.25">
      <c r="A288" s="19" t="s">
        <v>871</v>
      </c>
      <c r="B288" s="17" t="s">
        <v>870</v>
      </c>
      <c r="C288" s="20">
        <v>1</v>
      </c>
      <c r="D288" s="18">
        <v>89.99</v>
      </c>
      <c r="E288" s="20">
        <v>50039451</v>
      </c>
      <c r="F288" s="17" t="s">
        <v>330</v>
      </c>
      <c r="G288" s="19" t="s">
        <v>773</v>
      </c>
      <c r="H288" s="18">
        <v>23.333333333333336</v>
      </c>
      <c r="I288" s="17" t="s">
        <v>854</v>
      </c>
      <c r="J288" s="17" t="s">
        <v>850</v>
      </c>
      <c r="K288" s="17"/>
      <c r="L288" s="17"/>
      <c r="M288" s="16"/>
      <c r="N288" s="30"/>
    </row>
    <row r="289" spans="1:14" ht="48" x14ac:dyDescent="0.25">
      <c r="A289" s="19" t="s">
        <v>869</v>
      </c>
      <c r="B289" s="17" t="s">
        <v>868</v>
      </c>
      <c r="C289" s="20">
        <v>1</v>
      </c>
      <c r="D289" s="18">
        <v>89.99</v>
      </c>
      <c r="E289" s="20">
        <v>50039451</v>
      </c>
      <c r="F289" s="17" t="s">
        <v>330</v>
      </c>
      <c r="G289" s="19" t="s">
        <v>857</v>
      </c>
      <c r="H289" s="18">
        <v>23.333333333333336</v>
      </c>
      <c r="I289" s="17" t="s">
        <v>854</v>
      </c>
      <c r="J289" s="17" t="s">
        <v>850</v>
      </c>
      <c r="K289" s="17"/>
      <c r="L289" s="17"/>
      <c r="M289" s="16"/>
      <c r="N289" s="30"/>
    </row>
    <row r="290" spans="1:14" ht="48" x14ac:dyDescent="0.25">
      <c r="A290" s="19" t="s">
        <v>867</v>
      </c>
      <c r="B290" s="17" t="s">
        <v>866</v>
      </c>
      <c r="C290" s="20">
        <v>1</v>
      </c>
      <c r="D290" s="18">
        <v>79.989999999999995</v>
      </c>
      <c r="E290" s="20">
        <v>50039411</v>
      </c>
      <c r="F290" s="17" t="s">
        <v>575</v>
      </c>
      <c r="G290" s="19" t="s">
        <v>773</v>
      </c>
      <c r="H290" s="18">
        <v>23.333333333333336</v>
      </c>
      <c r="I290" s="17" t="s">
        <v>854</v>
      </c>
      <c r="J290" s="17" t="s">
        <v>850</v>
      </c>
      <c r="K290" s="17"/>
      <c r="L290" s="17"/>
      <c r="M290" s="16"/>
      <c r="N290" s="30"/>
    </row>
    <row r="291" spans="1:14" ht="48" x14ac:dyDescent="0.25">
      <c r="A291" s="19" t="s">
        <v>865</v>
      </c>
      <c r="B291" s="17" t="s">
        <v>864</v>
      </c>
      <c r="C291" s="20">
        <v>1</v>
      </c>
      <c r="D291" s="18">
        <v>79.989999999999995</v>
      </c>
      <c r="E291" s="20">
        <v>50039411</v>
      </c>
      <c r="F291" s="17" t="s">
        <v>575</v>
      </c>
      <c r="G291" s="19" t="s">
        <v>96</v>
      </c>
      <c r="H291" s="18">
        <v>23.333333333333336</v>
      </c>
      <c r="I291" s="17" t="s">
        <v>854</v>
      </c>
      <c r="J291" s="17" t="s">
        <v>850</v>
      </c>
      <c r="K291" s="17"/>
      <c r="L291" s="17"/>
      <c r="M291" s="16"/>
      <c r="N291" s="30"/>
    </row>
    <row r="292" spans="1:14" ht="48" x14ac:dyDescent="0.25">
      <c r="A292" s="19" t="s">
        <v>863</v>
      </c>
      <c r="B292" s="17" t="s">
        <v>862</v>
      </c>
      <c r="C292" s="20">
        <v>1</v>
      </c>
      <c r="D292" s="18">
        <v>79.989999999999995</v>
      </c>
      <c r="E292" s="20">
        <v>50039427</v>
      </c>
      <c r="F292" s="17" t="s">
        <v>726</v>
      </c>
      <c r="G292" s="19" t="s">
        <v>773</v>
      </c>
      <c r="H292" s="18">
        <v>23.333333333333336</v>
      </c>
      <c r="I292" s="17" t="s">
        <v>854</v>
      </c>
      <c r="J292" s="17" t="s">
        <v>850</v>
      </c>
      <c r="K292" s="17"/>
      <c r="L292" s="17"/>
      <c r="M292" s="16"/>
      <c r="N292" s="30"/>
    </row>
    <row r="293" spans="1:14" ht="48" x14ac:dyDescent="0.25">
      <c r="A293" s="19" t="s">
        <v>861</v>
      </c>
      <c r="B293" s="17" t="s">
        <v>860</v>
      </c>
      <c r="C293" s="20">
        <v>1</v>
      </c>
      <c r="D293" s="18">
        <v>89.99</v>
      </c>
      <c r="E293" s="20">
        <v>50039647</v>
      </c>
      <c r="F293" s="17" t="s">
        <v>726</v>
      </c>
      <c r="G293" s="19" t="s">
        <v>116</v>
      </c>
      <c r="H293" s="18">
        <v>23.333333333333336</v>
      </c>
      <c r="I293" s="17" t="s">
        <v>854</v>
      </c>
      <c r="J293" s="17" t="s">
        <v>850</v>
      </c>
      <c r="K293" s="17"/>
      <c r="L293" s="17"/>
      <c r="M293" s="16"/>
      <c r="N293" s="30"/>
    </row>
    <row r="294" spans="1:14" ht="48" x14ac:dyDescent="0.25">
      <c r="A294" s="19" t="s">
        <v>859</v>
      </c>
      <c r="B294" s="17" t="s">
        <v>858</v>
      </c>
      <c r="C294" s="20">
        <v>2</v>
      </c>
      <c r="D294" s="18">
        <v>89.99</v>
      </c>
      <c r="E294" s="20">
        <v>50039403</v>
      </c>
      <c r="F294" s="17" t="s">
        <v>23</v>
      </c>
      <c r="G294" s="19" t="s">
        <v>857</v>
      </c>
      <c r="H294" s="18">
        <v>23.333333333333336</v>
      </c>
      <c r="I294" s="17" t="s">
        <v>854</v>
      </c>
      <c r="J294" s="17" t="s">
        <v>850</v>
      </c>
      <c r="K294" s="17"/>
      <c r="L294" s="17"/>
      <c r="M294" s="16"/>
      <c r="N294" s="30"/>
    </row>
    <row r="295" spans="1:14" ht="48" x14ac:dyDescent="0.25">
      <c r="A295" s="19" t="s">
        <v>856</v>
      </c>
      <c r="B295" s="17" t="s">
        <v>855</v>
      </c>
      <c r="C295" s="20">
        <v>1</v>
      </c>
      <c r="D295" s="18">
        <v>79.989999999999995</v>
      </c>
      <c r="E295" s="20">
        <v>50039439</v>
      </c>
      <c r="F295" s="17" t="s">
        <v>51</v>
      </c>
      <c r="G295" s="19" t="s">
        <v>116</v>
      </c>
      <c r="H295" s="18">
        <v>23.333333333333336</v>
      </c>
      <c r="I295" s="17" t="s">
        <v>854</v>
      </c>
      <c r="J295" s="17" t="s">
        <v>850</v>
      </c>
      <c r="K295" s="17"/>
      <c r="L295" s="17"/>
      <c r="M295" s="16"/>
      <c r="N295" s="30"/>
    </row>
    <row r="296" spans="1:14" ht="48" x14ac:dyDescent="0.25">
      <c r="A296" s="19" t="s">
        <v>853</v>
      </c>
      <c r="B296" s="17" t="s">
        <v>852</v>
      </c>
      <c r="C296" s="20">
        <v>1</v>
      </c>
      <c r="D296" s="18">
        <v>89.99</v>
      </c>
      <c r="E296" s="20">
        <v>50039672</v>
      </c>
      <c r="F296" s="17" t="s">
        <v>28</v>
      </c>
      <c r="G296" s="19" t="s">
        <v>738</v>
      </c>
      <c r="H296" s="18">
        <v>23.333333333333336</v>
      </c>
      <c r="I296" s="17" t="s">
        <v>851</v>
      </c>
      <c r="J296" s="17" t="s">
        <v>850</v>
      </c>
      <c r="K296" s="17"/>
      <c r="L296" s="17"/>
      <c r="M296" s="16"/>
      <c r="N296" s="30"/>
    </row>
    <row r="297" spans="1:14" ht="36" x14ac:dyDescent="0.25">
      <c r="A297" s="19" t="s">
        <v>849</v>
      </c>
      <c r="B297" s="17" t="s">
        <v>846</v>
      </c>
      <c r="C297" s="20">
        <v>2</v>
      </c>
      <c r="D297" s="18">
        <v>98</v>
      </c>
      <c r="E297" s="20" t="s">
        <v>845</v>
      </c>
      <c r="F297" s="17" t="s">
        <v>23</v>
      </c>
      <c r="G297" s="19" t="s">
        <v>69</v>
      </c>
      <c r="H297" s="18">
        <v>22.666666666666668</v>
      </c>
      <c r="I297" s="17" t="s">
        <v>133</v>
      </c>
      <c r="J297" s="17" t="s">
        <v>833</v>
      </c>
      <c r="K297" s="17"/>
      <c r="L297" s="17"/>
      <c r="M297" s="16"/>
      <c r="N297" s="30"/>
    </row>
    <row r="298" spans="1:14" ht="36" x14ac:dyDescent="0.25">
      <c r="A298" s="19" t="s">
        <v>848</v>
      </c>
      <c r="B298" s="17" t="s">
        <v>846</v>
      </c>
      <c r="C298" s="20">
        <v>3</v>
      </c>
      <c r="D298" s="18">
        <v>98</v>
      </c>
      <c r="E298" s="20" t="s">
        <v>845</v>
      </c>
      <c r="F298" s="17" t="s">
        <v>23</v>
      </c>
      <c r="G298" s="19" t="s">
        <v>57</v>
      </c>
      <c r="H298" s="18">
        <v>22.666666666666668</v>
      </c>
      <c r="I298" s="17" t="s">
        <v>133</v>
      </c>
      <c r="J298" s="17" t="s">
        <v>833</v>
      </c>
      <c r="K298" s="17"/>
      <c r="L298" s="17"/>
      <c r="M298" s="16"/>
      <c r="N298" s="30"/>
    </row>
    <row r="299" spans="1:14" ht="36" x14ac:dyDescent="0.25">
      <c r="A299" s="19" t="s">
        <v>847</v>
      </c>
      <c r="B299" s="17" t="s">
        <v>846</v>
      </c>
      <c r="C299" s="20">
        <v>5</v>
      </c>
      <c r="D299" s="18">
        <v>98</v>
      </c>
      <c r="E299" s="20" t="s">
        <v>845</v>
      </c>
      <c r="F299" s="17" t="s">
        <v>23</v>
      </c>
      <c r="G299" s="19" t="s">
        <v>74</v>
      </c>
      <c r="H299" s="18">
        <v>22.666666666666668</v>
      </c>
      <c r="I299" s="17" t="s">
        <v>133</v>
      </c>
      <c r="J299" s="17" t="s">
        <v>833</v>
      </c>
      <c r="K299" s="17"/>
      <c r="L299" s="17"/>
      <c r="M299" s="16"/>
      <c r="N299" s="30"/>
    </row>
    <row r="300" spans="1:14" ht="36" x14ac:dyDescent="0.25">
      <c r="A300" s="19" t="s">
        <v>844</v>
      </c>
      <c r="B300" s="17" t="s">
        <v>840</v>
      </c>
      <c r="C300" s="20">
        <v>3</v>
      </c>
      <c r="D300" s="18">
        <v>88</v>
      </c>
      <c r="E300" s="20" t="s">
        <v>839</v>
      </c>
      <c r="F300" s="17" t="s">
        <v>23</v>
      </c>
      <c r="G300" s="19" t="s">
        <v>57</v>
      </c>
      <c r="H300" s="18">
        <v>20.666666666666668</v>
      </c>
      <c r="I300" s="17" t="s">
        <v>133</v>
      </c>
      <c r="J300" s="17" t="s">
        <v>833</v>
      </c>
      <c r="K300" s="17"/>
      <c r="L300" s="17"/>
      <c r="M300" s="16"/>
      <c r="N300" s="30"/>
    </row>
    <row r="301" spans="1:14" ht="36" x14ac:dyDescent="0.25">
      <c r="A301" s="19" t="s">
        <v>843</v>
      </c>
      <c r="B301" s="17" t="s">
        <v>840</v>
      </c>
      <c r="C301" s="20">
        <v>4</v>
      </c>
      <c r="D301" s="18">
        <v>88</v>
      </c>
      <c r="E301" s="20" t="s">
        <v>839</v>
      </c>
      <c r="F301" s="17" t="s">
        <v>23</v>
      </c>
      <c r="G301" s="19" t="s">
        <v>74</v>
      </c>
      <c r="H301" s="18">
        <v>20.666666666666668</v>
      </c>
      <c r="I301" s="17" t="s">
        <v>133</v>
      </c>
      <c r="J301" s="17" t="s">
        <v>833</v>
      </c>
      <c r="K301" s="17"/>
      <c r="L301" s="17"/>
      <c r="M301" s="16"/>
      <c r="N301" s="30"/>
    </row>
    <row r="302" spans="1:14" ht="36" x14ac:dyDescent="0.25">
      <c r="A302" s="19" t="s">
        <v>842</v>
      </c>
      <c r="B302" s="17" t="s">
        <v>840</v>
      </c>
      <c r="C302" s="20">
        <v>2</v>
      </c>
      <c r="D302" s="18">
        <v>88</v>
      </c>
      <c r="E302" s="20" t="s">
        <v>839</v>
      </c>
      <c r="F302" s="17" t="s">
        <v>23</v>
      </c>
      <c r="G302" s="19" t="s">
        <v>62</v>
      </c>
      <c r="H302" s="18">
        <v>20.666666666666668</v>
      </c>
      <c r="I302" s="17" t="s">
        <v>133</v>
      </c>
      <c r="J302" s="17" t="s">
        <v>833</v>
      </c>
      <c r="K302" s="17"/>
      <c r="L302" s="17"/>
      <c r="M302" s="16"/>
      <c r="N302" s="30"/>
    </row>
    <row r="303" spans="1:14" ht="36" x14ac:dyDescent="0.25">
      <c r="A303" s="19" t="s">
        <v>841</v>
      </c>
      <c r="B303" s="17" t="s">
        <v>840</v>
      </c>
      <c r="C303" s="20">
        <v>5</v>
      </c>
      <c r="D303" s="18">
        <v>88</v>
      </c>
      <c r="E303" s="20" t="s">
        <v>839</v>
      </c>
      <c r="F303" s="17" t="s">
        <v>23</v>
      </c>
      <c r="G303" s="19" t="s">
        <v>69</v>
      </c>
      <c r="H303" s="18">
        <v>20.666666666666668</v>
      </c>
      <c r="I303" s="17" t="s">
        <v>133</v>
      </c>
      <c r="J303" s="17" t="s">
        <v>833</v>
      </c>
      <c r="K303" s="17"/>
      <c r="L303" s="17"/>
      <c r="M303" s="16"/>
      <c r="N303" s="30"/>
    </row>
    <row r="304" spans="1:14" ht="36" x14ac:dyDescent="0.25">
      <c r="A304" s="19" t="s">
        <v>838</v>
      </c>
      <c r="B304" s="17" t="s">
        <v>837</v>
      </c>
      <c r="C304" s="20">
        <v>1</v>
      </c>
      <c r="D304" s="18">
        <v>78</v>
      </c>
      <c r="E304" s="20" t="s">
        <v>834</v>
      </c>
      <c r="F304" s="17" t="s">
        <v>28</v>
      </c>
      <c r="G304" s="19" t="s">
        <v>62</v>
      </c>
      <c r="H304" s="18">
        <v>18.000000000000004</v>
      </c>
      <c r="I304" s="17" t="s">
        <v>133</v>
      </c>
      <c r="J304" s="17" t="s">
        <v>833</v>
      </c>
      <c r="K304" s="17"/>
      <c r="L304" s="17"/>
      <c r="M304" s="16"/>
      <c r="N304" s="30"/>
    </row>
    <row r="305" spans="1:14" ht="36" x14ac:dyDescent="0.25">
      <c r="A305" s="19" t="s">
        <v>836</v>
      </c>
      <c r="B305" s="17" t="s">
        <v>835</v>
      </c>
      <c r="C305" s="20">
        <v>4</v>
      </c>
      <c r="D305" s="18">
        <v>78</v>
      </c>
      <c r="E305" s="20" t="s">
        <v>834</v>
      </c>
      <c r="F305" s="17" t="s">
        <v>28</v>
      </c>
      <c r="G305" s="19" t="s">
        <v>74</v>
      </c>
      <c r="H305" s="18">
        <v>18.000000000000004</v>
      </c>
      <c r="I305" s="17" t="s">
        <v>133</v>
      </c>
      <c r="J305" s="17" t="s">
        <v>833</v>
      </c>
      <c r="K305" s="17"/>
      <c r="L305" s="17"/>
      <c r="M305" s="16"/>
      <c r="N305" s="30"/>
    </row>
    <row r="306" spans="1:14" ht="36" x14ac:dyDescent="0.25">
      <c r="A306" s="19" t="s">
        <v>832</v>
      </c>
      <c r="B306" s="17" t="s">
        <v>831</v>
      </c>
      <c r="C306" s="20">
        <v>3</v>
      </c>
      <c r="D306" s="18">
        <v>66</v>
      </c>
      <c r="E306" s="20" t="s">
        <v>830</v>
      </c>
      <c r="F306" s="17" t="s">
        <v>359</v>
      </c>
      <c r="G306" s="19" t="s">
        <v>62</v>
      </c>
      <c r="H306" s="18">
        <v>15.84</v>
      </c>
      <c r="I306" s="17" t="s">
        <v>133</v>
      </c>
      <c r="J306" s="17" t="s">
        <v>829</v>
      </c>
      <c r="K306" s="17"/>
      <c r="L306" s="17"/>
      <c r="M306" s="16"/>
      <c r="N306" s="30"/>
    </row>
    <row r="307" spans="1:14" ht="48" x14ac:dyDescent="0.25">
      <c r="A307" s="19" t="s">
        <v>828</v>
      </c>
      <c r="B307" s="17" t="s">
        <v>825</v>
      </c>
      <c r="C307" s="20">
        <v>2</v>
      </c>
      <c r="D307" s="18">
        <v>79</v>
      </c>
      <c r="E307" s="20" t="s">
        <v>824</v>
      </c>
      <c r="F307" s="17" t="s">
        <v>575</v>
      </c>
      <c r="G307" s="19" t="s">
        <v>57</v>
      </c>
      <c r="H307" s="18">
        <v>14.746666666666668</v>
      </c>
      <c r="I307" s="17" t="s">
        <v>820</v>
      </c>
      <c r="J307" s="17" t="s">
        <v>67</v>
      </c>
      <c r="K307" s="17"/>
      <c r="L307" s="17"/>
      <c r="M307" s="16"/>
      <c r="N307" s="30"/>
    </row>
    <row r="308" spans="1:14" ht="48" x14ac:dyDescent="0.25">
      <c r="A308" s="19" t="s">
        <v>827</v>
      </c>
      <c r="B308" s="17" t="s">
        <v>825</v>
      </c>
      <c r="C308" s="20">
        <v>1</v>
      </c>
      <c r="D308" s="18">
        <v>79</v>
      </c>
      <c r="E308" s="20" t="s">
        <v>824</v>
      </c>
      <c r="F308" s="17" t="s">
        <v>575</v>
      </c>
      <c r="G308" s="19" t="s">
        <v>69</v>
      </c>
      <c r="H308" s="18">
        <v>14.746666666666668</v>
      </c>
      <c r="I308" s="17" t="s">
        <v>820</v>
      </c>
      <c r="J308" s="17" t="s">
        <v>67</v>
      </c>
      <c r="K308" s="17"/>
      <c r="L308" s="17"/>
      <c r="M308" s="16"/>
      <c r="N308" s="30"/>
    </row>
    <row r="309" spans="1:14" ht="48" x14ac:dyDescent="0.25">
      <c r="A309" s="19" t="s">
        <v>826</v>
      </c>
      <c r="B309" s="17" t="s">
        <v>825</v>
      </c>
      <c r="C309" s="20">
        <v>1</v>
      </c>
      <c r="D309" s="18">
        <v>79</v>
      </c>
      <c r="E309" s="20" t="s">
        <v>824</v>
      </c>
      <c r="F309" s="17" t="s">
        <v>575</v>
      </c>
      <c r="G309" s="19" t="s">
        <v>74</v>
      </c>
      <c r="H309" s="18">
        <v>14.746666666666668</v>
      </c>
      <c r="I309" s="17" t="s">
        <v>820</v>
      </c>
      <c r="J309" s="17" t="s">
        <v>67</v>
      </c>
      <c r="K309" s="17"/>
      <c r="L309" s="17"/>
      <c r="M309" s="16"/>
      <c r="N309" s="30"/>
    </row>
    <row r="310" spans="1:14" ht="48" x14ac:dyDescent="0.25">
      <c r="A310" s="19" t="s">
        <v>823</v>
      </c>
      <c r="B310" s="17" t="s">
        <v>822</v>
      </c>
      <c r="C310" s="20">
        <v>1</v>
      </c>
      <c r="D310" s="18">
        <v>59</v>
      </c>
      <c r="E310" s="20" t="s">
        <v>821</v>
      </c>
      <c r="F310" s="17" t="s">
        <v>23</v>
      </c>
      <c r="G310" s="19" t="s">
        <v>197</v>
      </c>
      <c r="H310" s="18">
        <v>9.8333333333333339</v>
      </c>
      <c r="I310" s="17" t="s">
        <v>820</v>
      </c>
      <c r="J310" s="17" t="s">
        <v>67</v>
      </c>
      <c r="K310" s="17"/>
      <c r="L310" s="17"/>
      <c r="M310" s="16"/>
      <c r="N310" s="30"/>
    </row>
    <row r="311" spans="1:14" ht="36" x14ac:dyDescent="0.25">
      <c r="A311" s="19" t="s">
        <v>819</v>
      </c>
      <c r="B311" s="17" t="s">
        <v>818</v>
      </c>
      <c r="C311" s="20">
        <v>1</v>
      </c>
      <c r="D311" s="18">
        <v>25</v>
      </c>
      <c r="E311" s="20" t="s">
        <v>29</v>
      </c>
      <c r="F311" s="17" t="s">
        <v>28</v>
      </c>
      <c r="G311" s="19" t="s">
        <v>50</v>
      </c>
      <c r="H311" s="18">
        <v>5.8533333333333335</v>
      </c>
      <c r="I311" s="17" t="s">
        <v>16</v>
      </c>
      <c r="J311" s="17" t="s">
        <v>15</v>
      </c>
      <c r="K311" s="17"/>
      <c r="L311" s="17"/>
      <c r="M311" s="16"/>
      <c r="N311" s="30"/>
    </row>
  </sheetData>
  <pageMargins left="0.5" right="0.5" top="0.25" bottom="0.25" header="0.3" footer="0.3"/>
  <pageSetup scale="65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347"/>
  <sheetViews>
    <sheetView workbookViewId="0">
      <selection activeCell="K2" sqref="K2"/>
    </sheetView>
  </sheetViews>
  <sheetFormatPr defaultRowHeight="15" x14ac:dyDescent="0.25"/>
  <cols>
    <col min="1" max="1" width="14.140625" style="15" bestFit="1" customWidth="1"/>
    <col min="2" max="2" width="50.85546875" style="15" customWidth="1"/>
    <col min="3" max="3" width="12.42578125" style="15" bestFit="1" customWidth="1"/>
    <col min="4" max="4" width="8.7109375" style="15" bestFit="1" customWidth="1"/>
    <col min="5" max="5" width="15" style="15" customWidth="1"/>
    <col min="6" max="6" width="16.140625" style="15" bestFit="1" customWidth="1"/>
    <col min="7" max="7" width="10.85546875" style="15" customWidth="1"/>
    <col min="8" max="8" width="11.140625" style="15" bestFit="1" customWidth="1"/>
    <col min="9" max="9" width="9.85546875" style="15" bestFit="1" customWidth="1"/>
    <col min="10" max="11" width="11.42578125" style="15" customWidth="1"/>
    <col min="12" max="12" width="7.42578125" style="15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5" ht="36" x14ac:dyDescent="0.25">
      <c r="A1" s="35" t="s">
        <v>2</v>
      </c>
      <c r="B1" s="35" t="s">
        <v>3</v>
      </c>
      <c r="C1" s="35" t="s">
        <v>5</v>
      </c>
      <c r="D1" s="35" t="s">
        <v>817</v>
      </c>
      <c r="E1" s="35" t="s">
        <v>7</v>
      </c>
      <c r="F1" s="35" t="s">
        <v>816</v>
      </c>
      <c r="G1" s="35" t="s">
        <v>815</v>
      </c>
      <c r="H1" s="35" t="s">
        <v>814</v>
      </c>
      <c r="I1" s="35" t="s">
        <v>10</v>
      </c>
      <c r="J1" s="35"/>
      <c r="K1" s="35"/>
    </row>
    <row r="2" spans="1:15" ht="36" x14ac:dyDescent="0.25">
      <c r="A2" s="17" t="s">
        <v>14</v>
      </c>
      <c r="B2" s="32">
        <v>13986326</v>
      </c>
      <c r="C2" s="17" t="s">
        <v>11</v>
      </c>
      <c r="D2" s="17" t="s">
        <v>813</v>
      </c>
      <c r="E2" s="20">
        <v>1</v>
      </c>
      <c r="F2" s="20">
        <v>4</v>
      </c>
      <c r="G2" s="17">
        <v>503</v>
      </c>
      <c r="H2" s="18">
        <v>64960</v>
      </c>
      <c r="I2" s="17">
        <v>651</v>
      </c>
      <c r="J2" s="33"/>
      <c r="K2" s="33"/>
      <c r="L2" s="30"/>
      <c r="M2" s="30"/>
    </row>
    <row r="3" spans="1:15" x14ac:dyDescent="0.25">
      <c r="A3" s="23"/>
      <c r="B3" s="25"/>
      <c r="C3" s="25"/>
      <c r="D3" s="23"/>
      <c r="E3" s="23"/>
      <c r="F3" s="23"/>
      <c r="G3" s="25"/>
      <c r="H3" s="25"/>
      <c r="I3" s="23"/>
      <c r="J3" s="22"/>
      <c r="K3" s="23"/>
      <c r="L3" s="22"/>
      <c r="M3" s="22"/>
    </row>
    <row r="4" spans="1:15" s="21" customFormat="1" x14ac:dyDescent="0.25"/>
    <row r="5" spans="1:15" x14ac:dyDescent="0.25">
      <c r="A5" s="1"/>
      <c r="B5" s="1"/>
      <c r="C5" s="1"/>
      <c r="D5" s="1"/>
    </row>
    <row r="6" spans="1:15" x14ac:dyDescent="0.25">
      <c r="A6" s="24"/>
      <c r="B6" s="23"/>
      <c r="C6" s="22"/>
      <c r="D6" s="22"/>
    </row>
    <row r="7" spans="1:15" s="21" customFormat="1" x14ac:dyDescent="0.25"/>
    <row r="8" spans="1:15" ht="36" x14ac:dyDescent="0.25">
      <c r="A8" s="35" t="s">
        <v>812</v>
      </c>
      <c r="B8" s="35" t="s">
        <v>811</v>
      </c>
      <c r="C8" s="35" t="s">
        <v>810</v>
      </c>
      <c r="D8" s="35" t="s">
        <v>8</v>
      </c>
      <c r="E8" s="35" t="s">
        <v>9</v>
      </c>
      <c r="F8" s="35" t="s">
        <v>809</v>
      </c>
      <c r="G8" s="35" t="s">
        <v>808</v>
      </c>
      <c r="H8" s="35" t="s">
        <v>807</v>
      </c>
      <c r="I8" s="35" t="s">
        <v>806</v>
      </c>
      <c r="J8" s="35" t="s">
        <v>805</v>
      </c>
      <c r="K8" s="35" t="s">
        <v>804</v>
      </c>
      <c r="L8" s="35" t="s">
        <v>803</v>
      </c>
      <c r="M8" s="35" t="s">
        <v>802</v>
      </c>
      <c r="N8" s="35" t="s">
        <v>801</v>
      </c>
    </row>
    <row r="9" spans="1:15" ht="48" x14ac:dyDescent="0.25">
      <c r="A9" s="19" t="s">
        <v>2427</v>
      </c>
      <c r="B9" s="17" t="s">
        <v>2426</v>
      </c>
      <c r="C9" s="20">
        <v>1</v>
      </c>
      <c r="D9" s="18">
        <v>235</v>
      </c>
      <c r="E9" s="18">
        <v>565</v>
      </c>
      <c r="F9" s="20">
        <v>522111116000040</v>
      </c>
      <c r="G9" s="17" t="s">
        <v>282</v>
      </c>
      <c r="H9" s="19" t="s">
        <v>116</v>
      </c>
      <c r="I9" s="18">
        <v>156.66666666666669</v>
      </c>
      <c r="J9" s="17" t="s">
        <v>158</v>
      </c>
      <c r="K9" s="17" t="s">
        <v>157</v>
      </c>
      <c r="L9" s="17"/>
      <c r="M9" s="17"/>
      <c r="N9" s="16" t="str">
        <f>HYPERLINK("http://slimages.macys.com/is/image/MCY/18821171 ")</f>
        <v xml:space="preserve">http://slimages.macys.com/is/image/MCY/18821171 </v>
      </c>
      <c r="O9" s="30"/>
    </row>
    <row r="10" spans="1:15" ht="48" x14ac:dyDescent="0.25">
      <c r="A10" s="19" t="s">
        <v>2425</v>
      </c>
      <c r="B10" s="17" t="s">
        <v>2424</v>
      </c>
      <c r="C10" s="20">
        <v>1</v>
      </c>
      <c r="D10" s="18">
        <v>213</v>
      </c>
      <c r="E10" s="18">
        <v>510</v>
      </c>
      <c r="F10" s="20">
        <v>513115116000010</v>
      </c>
      <c r="G10" s="17" t="s">
        <v>44</v>
      </c>
      <c r="H10" s="19" t="s">
        <v>898</v>
      </c>
      <c r="I10" s="18">
        <v>142</v>
      </c>
      <c r="J10" s="17" t="s">
        <v>158</v>
      </c>
      <c r="K10" s="17" t="s">
        <v>157</v>
      </c>
      <c r="L10" s="17"/>
      <c r="M10" s="17"/>
      <c r="N10" s="16" t="str">
        <f>HYPERLINK("http://slimages.macys.com/is/image/MCY/18948441 ")</f>
        <v xml:space="preserve">http://slimages.macys.com/is/image/MCY/18948441 </v>
      </c>
      <c r="O10" s="30"/>
    </row>
    <row r="11" spans="1:15" ht="48" x14ac:dyDescent="0.25">
      <c r="A11" s="19" t="s">
        <v>2423</v>
      </c>
      <c r="B11" s="17" t="s">
        <v>2422</v>
      </c>
      <c r="C11" s="20">
        <v>1</v>
      </c>
      <c r="D11" s="18">
        <v>206</v>
      </c>
      <c r="E11" s="18">
        <v>495</v>
      </c>
      <c r="F11" s="20">
        <v>322623182000010</v>
      </c>
      <c r="G11" s="17" t="s">
        <v>339</v>
      </c>
      <c r="H11" s="19" t="s">
        <v>857</v>
      </c>
      <c r="I11" s="18">
        <v>137.33333333333334</v>
      </c>
      <c r="J11" s="17" t="s">
        <v>158</v>
      </c>
      <c r="K11" s="17" t="s">
        <v>946</v>
      </c>
      <c r="L11" s="17"/>
      <c r="M11" s="17"/>
      <c r="N11" s="16" t="str">
        <f>HYPERLINK("http://slimages.macys.com/is/image/MCY/19181234 ")</f>
        <v xml:space="preserve">http://slimages.macys.com/is/image/MCY/19181234 </v>
      </c>
      <c r="O11" s="30"/>
    </row>
    <row r="12" spans="1:15" ht="48" x14ac:dyDescent="0.25">
      <c r="A12" s="19" t="s">
        <v>2421</v>
      </c>
      <c r="B12" s="17" t="s">
        <v>2420</v>
      </c>
      <c r="C12" s="20">
        <v>1</v>
      </c>
      <c r="D12" s="18">
        <v>198</v>
      </c>
      <c r="E12" s="18">
        <v>475</v>
      </c>
      <c r="F12" s="20">
        <v>504102116000040</v>
      </c>
      <c r="G12" s="17" t="s">
        <v>85</v>
      </c>
      <c r="H12" s="19" t="s">
        <v>682</v>
      </c>
      <c r="I12" s="18">
        <v>132</v>
      </c>
      <c r="J12" s="17" t="s">
        <v>158</v>
      </c>
      <c r="K12" s="17" t="s">
        <v>157</v>
      </c>
      <c r="L12" s="17"/>
      <c r="M12" s="17"/>
      <c r="N12" s="16" t="str">
        <f>HYPERLINK("http://slimages.macys.com/is/image/MCY/18623345 ")</f>
        <v xml:space="preserve">http://slimages.macys.com/is/image/MCY/18623345 </v>
      </c>
      <c r="O12" s="30"/>
    </row>
    <row r="13" spans="1:15" ht="60" x14ac:dyDescent="0.25">
      <c r="A13" s="19" t="s">
        <v>2419</v>
      </c>
      <c r="B13" s="17" t="s">
        <v>2418</v>
      </c>
      <c r="C13" s="20">
        <v>1</v>
      </c>
      <c r="D13" s="18">
        <v>141.30000000000001</v>
      </c>
      <c r="E13" s="18">
        <v>345</v>
      </c>
      <c r="F13" s="20" t="s">
        <v>1606</v>
      </c>
      <c r="G13" s="17" t="s">
        <v>562</v>
      </c>
      <c r="H13" s="19" t="s">
        <v>954</v>
      </c>
      <c r="I13" s="18">
        <v>94.2</v>
      </c>
      <c r="J13" s="17" t="s">
        <v>133</v>
      </c>
      <c r="K13" s="17" t="s">
        <v>953</v>
      </c>
      <c r="L13" s="17"/>
      <c r="M13" s="17"/>
      <c r="N13" s="16" t="str">
        <f t="shared" ref="N13:N20" si="0">HYPERLINK("http://slimages.macys.com/is/image/MCY/19446768 ")</f>
        <v xml:space="preserve">http://slimages.macys.com/is/image/MCY/19446768 </v>
      </c>
      <c r="O13" s="30"/>
    </row>
    <row r="14" spans="1:15" ht="60" x14ac:dyDescent="0.25">
      <c r="A14" s="19" t="s">
        <v>2417</v>
      </c>
      <c r="B14" s="17" t="s">
        <v>2416</v>
      </c>
      <c r="C14" s="20">
        <v>1</v>
      </c>
      <c r="D14" s="18">
        <v>141.30000000000001</v>
      </c>
      <c r="E14" s="18">
        <v>345</v>
      </c>
      <c r="F14" s="20" t="s">
        <v>1606</v>
      </c>
      <c r="G14" s="17" t="s">
        <v>51</v>
      </c>
      <c r="H14" s="19" t="s">
        <v>954</v>
      </c>
      <c r="I14" s="18">
        <v>94.2</v>
      </c>
      <c r="J14" s="17" t="s">
        <v>133</v>
      </c>
      <c r="K14" s="17" t="s">
        <v>953</v>
      </c>
      <c r="L14" s="17"/>
      <c r="M14" s="17"/>
      <c r="N14" s="16" t="str">
        <f t="shared" si="0"/>
        <v xml:space="preserve">http://slimages.macys.com/is/image/MCY/19446768 </v>
      </c>
      <c r="O14" s="30"/>
    </row>
    <row r="15" spans="1:15" ht="60" x14ac:dyDescent="0.25">
      <c r="A15" s="19" t="s">
        <v>2415</v>
      </c>
      <c r="B15" s="17" t="s">
        <v>2414</v>
      </c>
      <c r="C15" s="20">
        <v>1</v>
      </c>
      <c r="D15" s="18">
        <v>141.30000000000001</v>
      </c>
      <c r="E15" s="18">
        <v>345</v>
      </c>
      <c r="F15" s="20" t="s">
        <v>1606</v>
      </c>
      <c r="G15" s="17" t="s">
        <v>51</v>
      </c>
      <c r="H15" s="19" t="s">
        <v>69</v>
      </c>
      <c r="I15" s="18">
        <v>94.2</v>
      </c>
      <c r="J15" s="17" t="s">
        <v>133</v>
      </c>
      <c r="K15" s="17" t="s">
        <v>953</v>
      </c>
      <c r="L15" s="17"/>
      <c r="M15" s="17"/>
      <c r="N15" s="16" t="str">
        <f t="shared" si="0"/>
        <v xml:space="preserve">http://slimages.macys.com/is/image/MCY/19446768 </v>
      </c>
      <c r="O15" s="30"/>
    </row>
    <row r="16" spans="1:15" ht="60" x14ac:dyDescent="0.25">
      <c r="A16" s="19" t="s">
        <v>2413</v>
      </c>
      <c r="B16" s="17" t="s">
        <v>2412</v>
      </c>
      <c r="C16" s="20">
        <v>2</v>
      </c>
      <c r="D16" s="18">
        <v>141.30000000000001</v>
      </c>
      <c r="E16" s="18">
        <v>345</v>
      </c>
      <c r="F16" s="20" t="s">
        <v>1606</v>
      </c>
      <c r="G16" s="17" t="s">
        <v>562</v>
      </c>
      <c r="H16" s="19" t="s">
        <v>69</v>
      </c>
      <c r="I16" s="18">
        <v>94.2</v>
      </c>
      <c r="J16" s="17" t="s">
        <v>133</v>
      </c>
      <c r="K16" s="17" t="s">
        <v>953</v>
      </c>
      <c r="L16" s="17"/>
      <c r="M16" s="17"/>
      <c r="N16" s="16" t="str">
        <f t="shared" si="0"/>
        <v xml:space="preserve">http://slimages.macys.com/is/image/MCY/19446768 </v>
      </c>
      <c r="O16" s="30"/>
    </row>
    <row r="17" spans="1:15" ht="60" x14ac:dyDescent="0.25">
      <c r="A17" s="19" t="s">
        <v>2411</v>
      </c>
      <c r="B17" s="17" t="s">
        <v>2410</v>
      </c>
      <c r="C17" s="20">
        <v>1</v>
      </c>
      <c r="D17" s="18">
        <v>141.30000000000001</v>
      </c>
      <c r="E17" s="18">
        <v>345</v>
      </c>
      <c r="F17" s="20" t="s">
        <v>1606</v>
      </c>
      <c r="G17" s="17" t="s">
        <v>562</v>
      </c>
      <c r="H17" s="19" t="s">
        <v>62</v>
      </c>
      <c r="I17" s="18">
        <v>94.2</v>
      </c>
      <c r="J17" s="17" t="s">
        <v>133</v>
      </c>
      <c r="K17" s="17" t="s">
        <v>953</v>
      </c>
      <c r="L17" s="17"/>
      <c r="M17" s="17"/>
      <c r="N17" s="16" t="str">
        <f t="shared" si="0"/>
        <v xml:space="preserve">http://slimages.macys.com/is/image/MCY/19446768 </v>
      </c>
      <c r="O17" s="30"/>
    </row>
    <row r="18" spans="1:15" ht="60" x14ac:dyDescent="0.25">
      <c r="A18" s="19" t="s">
        <v>2409</v>
      </c>
      <c r="B18" s="17" t="s">
        <v>2408</v>
      </c>
      <c r="C18" s="20">
        <v>2</v>
      </c>
      <c r="D18" s="18">
        <v>141.30000000000001</v>
      </c>
      <c r="E18" s="18">
        <v>345</v>
      </c>
      <c r="F18" s="20" t="s">
        <v>1606</v>
      </c>
      <c r="G18" s="17" t="s">
        <v>51</v>
      </c>
      <c r="H18" s="19" t="s">
        <v>62</v>
      </c>
      <c r="I18" s="18">
        <v>94.2</v>
      </c>
      <c r="J18" s="17" t="s">
        <v>133</v>
      </c>
      <c r="K18" s="17" t="s">
        <v>953</v>
      </c>
      <c r="L18" s="17"/>
      <c r="M18" s="17"/>
      <c r="N18" s="16" t="str">
        <f t="shared" si="0"/>
        <v xml:space="preserve">http://slimages.macys.com/is/image/MCY/19446768 </v>
      </c>
      <c r="O18" s="30"/>
    </row>
    <row r="19" spans="1:15" ht="60" x14ac:dyDescent="0.25">
      <c r="A19" s="19" t="s">
        <v>2407</v>
      </c>
      <c r="B19" s="17" t="s">
        <v>2406</v>
      </c>
      <c r="C19" s="20">
        <v>2</v>
      </c>
      <c r="D19" s="18">
        <v>141.30000000000001</v>
      </c>
      <c r="E19" s="18">
        <v>345</v>
      </c>
      <c r="F19" s="20" t="s">
        <v>1606</v>
      </c>
      <c r="G19" s="17" t="s">
        <v>562</v>
      </c>
      <c r="H19" s="19" t="s">
        <v>197</v>
      </c>
      <c r="I19" s="18">
        <v>94.2</v>
      </c>
      <c r="J19" s="17" t="s">
        <v>133</v>
      </c>
      <c r="K19" s="17" t="s">
        <v>953</v>
      </c>
      <c r="L19" s="17"/>
      <c r="M19" s="17"/>
      <c r="N19" s="16" t="str">
        <f t="shared" si="0"/>
        <v xml:space="preserve">http://slimages.macys.com/is/image/MCY/19446768 </v>
      </c>
      <c r="O19" s="30"/>
    </row>
    <row r="20" spans="1:15" ht="60" x14ac:dyDescent="0.25">
      <c r="A20" s="19" t="s">
        <v>2405</v>
      </c>
      <c r="B20" s="17" t="s">
        <v>2404</v>
      </c>
      <c r="C20" s="20">
        <v>1</v>
      </c>
      <c r="D20" s="18">
        <v>141.30000000000001</v>
      </c>
      <c r="E20" s="18">
        <v>345</v>
      </c>
      <c r="F20" s="20" t="s">
        <v>1606</v>
      </c>
      <c r="G20" s="17" t="s">
        <v>562</v>
      </c>
      <c r="H20" s="19" t="s">
        <v>74</v>
      </c>
      <c r="I20" s="18">
        <v>94.2</v>
      </c>
      <c r="J20" s="17" t="s">
        <v>133</v>
      </c>
      <c r="K20" s="17" t="s">
        <v>953</v>
      </c>
      <c r="L20" s="17"/>
      <c r="M20" s="17"/>
      <c r="N20" s="16" t="str">
        <f t="shared" si="0"/>
        <v xml:space="preserve">http://slimages.macys.com/is/image/MCY/19446768 </v>
      </c>
      <c r="O20" s="30"/>
    </row>
    <row r="21" spans="1:15" ht="60" x14ac:dyDescent="0.25">
      <c r="A21" s="19" t="s">
        <v>2403</v>
      </c>
      <c r="B21" s="17" t="s">
        <v>2402</v>
      </c>
      <c r="C21" s="20">
        <v>1</v>
      </c>
      <c r="D21" s="18">
        <v>133.19999999999999</v>
      </c>
      <c r="E21" s="18">
        <v>325</v>
      </c>
      <c r="F21" s="20" t="s">
        <v>1601</v>
      </c>
      <c r="G21" s="17" t="s">
        <v>51</v>
      </c>
      <c r="H21" s="19" t="s">
        <v>74</v>
      </c>
      <c r="I21" s="18">
        <v>88.800000000000011</v>
      </c>
      <c r="J21" s="17" t="s">
        <v>133</v>
      </c>
      <c r="K21" s="17" t="s">
        <v>953</v>
      </c>
      <c r="L21" s="17"/>
      <c r="M21" s="17"/>
      <c r="N21" s="16" t="str">
        <f>HYPERLINK("http://slimages.macys.com/is/image/MCY/19446556 ")</f>
        <v xml:space="preserve">http://slimages.macys.com/is/image/MCY/19446556 </v>
      </c>
      <c r="O21" s="30"/>
    </row>
    <row r="22" spans="1:15" ht="60" x14ac:dyDescent="0.25">
      <c r="A22" s="19" t="s">
        <v>2401</v>
      </c>
      <c r="B22" s="17" t="s">
        <v>2400</v>
      </c>
      <c r="C22" s="20">
        <v>2</v>
      </c>
      <c r="D22" s="18">
        <v>133.19999999999999</v>
      </c>
      <c r="E22" s="18">
        <v>325</v>
      </c>
      <c r="F22" s="20" t="s">
        <v>1601</v>
      </c>
      <c r="G22" s="17" t="s">
        <v>562</v>
      </c>
      <c r="H22" s="19" t="s">
        <v>69</v>
      </c>
      <c r="I22" s="18">
        <v>88.800000000000011</v>
      </c>
      <c r="J22" s="17" t="s">
        <v>133</v>
      </c>
      <c r="K22" s="17" t="s">
        <v>953</v>
      </c>
      <c r="L22" s="17"/>
      <c r="M22" s="17"/>
      <c r="N22" s="16" t="str">
        <f>HYPERLINK("http://slimages.macys.com/is/image/MCY/19446556 ")</f>
        <v xml:space="preserve">http://slimages.macys.com/is/image/MCY/19446556 </v>
      </c>
      <c r="O22" s="30"/>
    </row>
    <row r="23" spans="1:15" ht="60" x14ac:dyDescent="0.25">
      <c r="A23" s="19" t="s">
        <v>2399</v>
      </c>
      <c r="B23" s="17" t="s">
        <v>2398</v>
      </c>
      <c r="C23" s="20">
        <v>1</v>
      </c>
      <c r="D23" s="18">
        <v>133.19999999999999</v>
      </c>
      <c r="E23" s="18">
        <v>325</v>
      </c>
      <c r="F23" s="20" t="s">
        <v>1601</v>
      </c>
      <c r="G23" s="17" t="s">
        <v>51</v>
      </c>
      <c r="H23" s="19" t="s">
        <v>69</v>
      </c>
      <c r="I23" s="18">
        <v>88.800000000000011</v>
      </c>
      <c r="J23" s="17" t="s">
        <v>133</v>
      </c>
      <c r="K23" s="17" t="s">
        <v>953</v>
      </c>
      <c r="L23" s="17"/>
      <c r="M23" s="17"/>
      <c r="N23" s="16" t="str">
        <f>HYPERLINK("http://slimages.macys.com/is/image/MCY/19446556 ")</f>
        <v xml:space="preserve">http://slimages.macys.com/is/image/MCY/19446556 </v>
      </c>
      <c r="O23" s="30"/>
    </row>
    <row r="24" spans="1:15" ht="60" x14ac:dyDescent="0.25">
      <c r="A24" s="19" t="s">
        <v>2397</v>
      </c>
      <c r="B24" s="17" t="s">
        <v>2396</v>
      </c>
      <c r="C24" s="20">
        <v>1</v>
      </c>
      <c r="D24" s="18">
        <v>133.19999999999999</v>
      </c>
      <c r="E24" s="18">
        <v>325</v>
      </c>
      <c r="F24" s="20" t="s">
        <v>1601</v>
      </c>
      <c r="G24" s="17" t="s">
        <v>51</v>
      </c>
      <c r="H24" s="19" t="s">
        <v>62</v>
      </c>
      <c r="I24" s="18">
        <v>88.800000000000011</v>
      </c>
      <c r="J24" s="17" t="s">
        <v>133</v>
      </c>
      <c r="K24" s="17" t="s">
        <v>953</v>
      </c>
      <c r="L24" s="17"/>
      <c r="M24" s="17"/>
      <c r="N24" s="16" t="str">
        <f>HYPERLINK("http://slimages.macys.com/is/image/MCY/19446556 ")</f>
        <v xml:space="preserve">http://slimages.macys.com/is/image/MCY/19446556 </v>
      </c>
      <c r="O24" s="30"/>
    </row>
    <row r="25" spans="1:15" ht="60" x14ac:dyDescent="0.25">
      <c r="A25" s="19" t="s">
        <v>2395</v>
      </c>
      <c r="B25" s="17" t="s">
        <v>2394</v>
      </c>
      <c r="C25" s="20">
        <v>2</v>
      </c>
      <c r="D25" s="18">
        <v>133.19999999999999</v>
      </c>
      <c r="E25" s="18">
        <v>325</v>
      </c>
      <c r="F25" s="20" t="s">
        <v>1601</v>
      </c>
      <c r="G25" s="17" t="s">
        <v>562</v>
      </c>
      <c r="H25" s="19" t="s">
        <v>62</v>
      </c>
      <c r="I25" s="18">
        <v>88.800000000000011</v>
      </c>
      <c r="J25" s="17" t="s">
        <v>133</v>
      </c>
      <c r="K25" s="17" t="s">
        <v>953</v>
      </c>
      <c r="L25" s="17"/>
      <c r="M25" s="17"/>
      <c r="N25" s="16" t="str">
        <f>HYPERLINK("http://slimages.macys.com/is/image/MCY/19446556 ")</f>
        <v xml:space="preserve">http://slimages.macys.com/is/image/MCY/19446556 </v>
      </c>
      <c r="O25" s="30"/>
    </row>
    <row r="26" spans="1:15" ht="48" x14ac:dyDescent="0.25">
      <c r="A26" s="19" t="s">
        <v>2393</v>
      </c>
      <c r="B26" s="17" t="s">
        <v>2392</v>
      </c>
      <c r="C26" s="20">
        <v>1</v>
      </c>
      <c r="D26" s="18">
        <v>123</v>
      </c>
      <c r="E26" s="18">
        <v>295</v>
      </c>
      <c r="F26" s="20">
        <v>511110116000450</v>
      </c>
      <c r="G26" s="17" t="s">
        <v>282</v>
      </c>
      <c r="H26" s="19" t="s">
        <v>96</v>
      </c>
      <c r="I26" s="18">
        <v>82.000000000000014</v>
      </c>
      <c r="J26" s="17" t="s">
        <v>158</v>
      </c>
      <c r="K26" s="17" t="s">
        <v>157</v>
      </c>
      <c r="L26" s="17"/>
      <c r="M26" s="17"/>
      <c r="N26" s="16" t="str">
        <f>HYPERLINK("http://slimages.macys.com/is/image/MCY/18948451 ")</f>
        <v xml:space="preserve">http://slimages.macys.com/is/image/MCY/18948451 </v>
      </c>
      <c r="O26" s="30"/>
    </row>
    <row r="27" spans="1:15" ht="48" x14ac:dyDescent="0.25">
      <c r="A27" s="19" t="s">
        <v>2391</v>
      </c>
      <c r="B27" s="17" t="s">
        <v>2390</v>
      </c>
      <c r="C27" s="20">
        <v>1</v>
      </c>
      <c r="D27" s="18">
        <v>123</v>
      </c>
      <c r="E27" s="18">
        <v>295</v>
      </c>
      <c r="F27" s="20">
        <v>513102176000030</v>
      </c>
      <c r="G27" s="17" t="s">
        <v>85</v>
      </c>
      <c r="H27" s="19" t="s">
        <v>96</v>
      </c>
      <c r="I27" s="18">
        <v>82.000000000000014</v>
      </c>
      <c r="J27" s="17" t="s">
        <v>158</v>
      </c>
      <c r="K27" s="17" t="s">
        <v>157</v>
      </c>
      <c r="L27" s="17"/>
      <c r="M27" s="17"/>
      <c r="N27" s="16" t="str">
        <f>HYPERLINK("http://slimages.macys.com/is/image/MCY/18948597 ")</f>
        <v xml:space="preserve">http://slimages.macys.com/is/image/MCY/18948597 </v>
      </c>
      <c r="O27" s="30"/>
    </row>
    <row r="28" spans="1:15" ht="60" x14ac:dyDescent="0.25">
      <c r="A28" s="19" t="s">
        <v>2389</v>
      </c>
      <c r="B28" s="17" t="s">
        <v>2388</v>
      </c>
      <c r="C28" s="20">
        <v>1</v>
      </c>
      <c r="D28" s="18">
        <v>121.5</v>
      </c>
      <c r="E28" s="18">
        <v>295</v>
      </c>
      <c r="F28" s="20" t="s">
        <v>1592</v>
      </c>
      <c r="G28" s="17" t="s">
        <v>51</v>
      </c>
      <c r="H28" s="19" t="s">
        <v>197</v>
      </c>
      <c r="I28" s="18">
        <v>81</v>
      </c>
      <c r="J28" s="17" t="s">
        <v>133</v>
      </c>
      <c r="K28" s="17" t="s">
        <v>953</v>
      </c>
      <c r="L28" s="17"/>
      <c r="M28" s="17"/>
      <c r="N28" s="16" t="str">
        <f>HYPERLINK("http://slimages.macys.com/is/image/MCY/19449413 ")</f>
        <v xml:space="preserve">http://slimages.macys.com/is/image/MCY/19449413 </v>
      </c>
      <c r="O28" s="30"/>
    </row>
    <row r="29" spans="1:15" ht="60" x14ac:dyDescent="0.25">
      <c r="A29" s="19" t="s">
        <v>2387</v>
      </c>
      <c r="B29" s="17" t="s">
        <v>2386</v>
      </c>
      <c r="C29" s="20">
        <v>1</v>
      </c>
      <c r="D29" s="18">
        <v>121.5</v>
      </c>
      <c r="E29" s="18">
        <v>295</v>
      </c>
      <c r="F29" s="20" t="s">
        <v>1592</v>
      </c>
      <c r="G29" s="17" t="s">
        <v>51</v>
      </c>
      <c r="H29" s="19" t="s">
        <v>62</v>
      </c>
      <c r="I29" s="18">
        <v>81</v>
      </c>
      <c r="J29" s="17" t="s">
        <v>133</v>
      </c>
      <c r="K29" s="17" t="s">
        <v>953</v>
      </c>
      <c r="L29" s="17"/>
      <c r="M29" s="17"/>
      <c r="N29" s="16" t="str">
        <f>HYPERLINK("http://slimages.macys.com/is/image/MCY/19449413 ")</f>
        <v xml:space="preserve">http://slimages.macys.com/is/image/MCY/19449413 </v>
      </c>
      <c r="O29" s="30"/>
    </row>
    <row r="30" spans="1:15" ht="60" x14ac:dyDescent="0.25">
      <c r="A30" s="19" t="s">
        <v>2385</v>
      </c>
      <c r="B30" s="17" t="s">
        <v>2384</v>
      </c>
      <c r="C30" s="20">
        <v>1</v>
      </c>
      <c r="D30" s="18">
        <v>120.6</v>
      </c>
      <c r="E30" s="18">
        <v>295</v>
      </c>
      <c r="F30" s="20" t="s">
        <v>1589</v>
      </c>
      <c r="G30" s="17" t="s">
        <v>726</v>
      </c>
      <c r="H30" s="19" t="s">
        <v>69</v>
      </c>
      <c r="I30" s="18">
        <v>80.400000000000006</v>
      </c>
      <c r="J30" s="17" t="s">
        <v>133</v>
      </c>
      <c r="K30" s="17" t="s">
        <v>953</v>
      </c>
      <c r="L30" s="17"/>
      <c r="M30" s="17"/>
      <c r="N30" s="16" t="str">
        <f>HYPERLINK("http://slimages.macys.com/is/image/MCY/19449398 ")</f>
        <v xml:space="preserve">http://slimages.macys.com/is/image/MCY/19449398 </v>
      </c>
      <c r="O30" s="30"/>
    </row>
    <row r="31" spans="1:15" ht="60" x14ac:dyDescent="0.25">
      <c r="A31" s="19" t="s">
        <v>2383</v>
      </c>
      <c r="B31" s="17" t="s">
        <v>2382</v>
      </c>
      <c r="C31" s="20">
        <v>2</v>
      </c>
      <c r="D31" s="18">
        <v>120.6</v>
      </c>
      <c r="E31" s="18">
        <v>295</v>
      </c>
      <c r="F31" s="20" t="s">
        <v>1586</v>
      </c>
      <c r="G31" s="17" t="s">
        <v>726</v>
      </c>
      <c r="H31" s="19" t="s">
        <v>62</v>
      </c>
      <c r="I31" s="18">
        <v>80.400000000000006</v>
      </c>
      <c r="J31" s="17" t="s">
        <v>133</v>
      </c>
      <c r="K31" s="17" t="s">
        <v>953</v>
      </c>
      <c r="L31" s="17"/>
      <c r="M31" s="17"/>
      <c r="N31" s="16" t="str">
        <f>HYPERLINK("http://slimages.macys.com/is/image/MCY/19449350 ")</f>
        <v xml:space="preserve">http://slimages.macys.com/is/image/MCY/19449350 </v>
      </c>
      <c r="O31" s="30"/>
    </row>
    <row r="32" spans="1:15" ht="60" x14ac:dyDescent="0.25">
      <c r="A32" s="19" t="s">
        <v>2381</v>
      </c>
      <c r="B32" s="17" t="s">
        <v>2380</v>
      </c>
      <c r="C32" s="20">
        <v>1</v>
      </c>
      <c r="D32" s="18">
        <v>120.6</v>
      </c>
      <c r="E32" s="18">
        <v>295</v>
      </c>
      <c r="F32" s="20" t="s">
        <v>1589</v>
      </c>
      <c r="G32" s="17" t="s">
        <v>726</v>
      </c>
      <c r="H32" s="19" t="s">
        <v>954</v>
      </c>
      <c r="I32" s="18">
        <v>80.400000000000006</v>
      </c>
      <c r="J32" s="17" t="s">
        <v>133</v>
      </c>
      <c r="K32" s="17" t="s">
        <v>953</v>
      </c>
      <c r="L32" s="17"/>
      <c r="M32" s="17"/>
      <c r="N32" s="16" t="str">
        <f>HYPERLINK("http://slimages.macys.com/is/image/MCY/19449398 ")</f>
        <v xml:space="preserve">http://slimages.macys.com/is/image/MCY/19449398 </v>
      </c>
      <c r="O32" s="30"/>
    </row>
    <row r="33" spans="1:15" ht="60" x14ac:dyDescent="0.25">
      <c r="A33" s="19" t="s">
        <v>2379</v>
      </c>
      <c r="B33" s="17" t="s">
        <v>2378</v>
      </c>
      <c r="C33" s="20">
        <v>1</v>
      </c>
      <c r="D33" s="18">
        <v>120.6</v>
      </c>
      <c r="E33" s="18">
        <v>295</v>
      </c>
      <c r="F33" s="20" t="s">
        <v>1589</v>
      </c>
      <c r="G33" s="17" t="s">
        <v>726</v>
      </c>
      <c r="H33" s="19" t="s">
        <v>74</v>
      </c>
      <c r="I33" s="18">
        <v>80.400000000000006</v>
      </c>
      <c r="J33" s="17" t="s">
        <v>133</v>
      </c>
      <c r="K33" s="17" t="s">
        <v>953</v>
      </c>
      <c r="L33" s="17"/>
      <c r="M33" s="17"/>
      <c r="N33" s="16" t="str">
        <f>HYPERLINK("http://slimages.macys.com/is/image/MCY/19449398 ")</f>
        <v xml:space="preserve">http://slimages.macys.com/is/image/MCY/19449398 </v>
      </c>
      <c r="O33" s="30"/>
    </row>
    <row r="34" spans="1:15" ht="60" x14ac:dyDescent="0.25">
      <c r="A34" s="19" t="s">
        <v>2377</v>
      </c>
      <c r="B34" s="17" t="s">
        <v>2376</v>
      </c>
      <c r="C34" s="20">
        <v>2</v>
      </c>
      <c r="D34" s="18">
        <v>120.6</v>
      </c>
      <c r="E34" s="18">
        <v>295</v>
      </c>
      <c r="F34" s="20" t="s">
        <v>1589</v>
      </c>
      <c r="G34" s="17" t="s">
        <v>726</v>
      </c>
      <c r="H34" s="19" t="s">
        <v>62</v>
      </c>
      <c r="I34" s="18">
        <v>80.400000000000006</v>
      </c>
      <c r="J34" s="17" t="s">
        <v>133</v>
      </c>
      <c r="K34" s="17" t="s">
        <v>953</v>
      </c>
      <c r="L34" s="17"/>
      <c r="M34" s="17"/>
      <c r="N34" s="16" t="str">
        <f>HYPERLINK("http://slimages.macys.com/is/image/MCY/19449398 ")</f>
        <v xml:space="preserve">http://slimages.macys.com/is/image/MCY/19449398 </v>
      </c>
      <c r="O34" s="30"/>
    </row>
    <row r="35" spans="1:15" ht="48" x14ac:dyDescent="0.25">
      <c r="A35" s="19" t="s">
        <v>2375</v>
      </c>
      <c r="B35" s="17" t="s">
        <v>2374</v>
      </c>
      <c r="C35" s="20">
        <v>1</v>
      </c>
      <c r="D35" s="18">
        <v>119</v>
      </c>
      <c r="E35" s="18">
        <v>285</v>
      </c>
      <c r="F35" s="20">
        <v>513112116000030</v>
      </c>
      <c r="G35" s="17" t="s">
        <v>85</v>
      </c>
      <c r="H35" s="19" t="s">
        <v>682</v>
      </c>
      <c r="I35" s="18">
        <v>79.333333333333343</v>
      </c>
      <c r="J35" s="17" t="s">
        <v>158</v>
      </c>
      <c r="K35" s="17" t="s">
        <v>157</v>
      </c>
      <c r="L35" s="17"/>
      <c r="M35" s="17"/>
      <c r="N35" s="16" t="str">
        <f>HYPERLINK("http://slimages.macys.com/is/image/MCY/18821366 ")</f>
        <v xml:space="preserve">http://slimages.macys.com/is/image/MCY/18821366 </v>
      </c>
      <c r="O35" s="30"/>
    </row>
    <row r="36" spans="1:15" ht="60" x14ac:dyDescent="0.25">
      <c r="A36" s="19" t="s">
        <v>2373</v>
      </c>
      <c r="B36" s="17" t="s">
        <v>2372</v>
      </c>
      <c r="C36" s="20">
        <v>1</v>
      </c>
      <c r="D36" s="18">
        <v>112.5</v>
      </c>
      <c r="E36" s="18">
        <v>275</v>
      </c>
      <c r="F36" s="20" t="s">
        <v>955</v>
      </c>
      <c r="G36" s="17" t="s">
        <v>51</v>
      </c>
      <c r="H36" s="19" t="s">
        <v>197</v>
      </c>
      <c r="I36" s="18">
        <v>75</v>
      </c>
      <c r="J36" s="17" t="s">
        <v>133</v>
      </c>
      <c r="K36" s="17" t="s">
        <v>953</v>
      </c>
      <c r="L36" s="17"/>
      <c r="M36" s="17"/>
      <c r="N36" s="16" t="str">
        <f>HYPERLINK("http://slimages.macys.com/is/image/MCY/19449478 ")</f>
        <v xml:space="preserve">http://slimages.macys.com/is/image/MCY/19449478 </v>
      </c>
      <c r="O36" s="30"/>
    </row>
    <row r="37" spans="1:15" ht="60" x14ac:dyDescent="0.25">
      <c r="A37" s="19" t="s">
        <v>2371</v>
      </c>
      <c r="B37" s="17" t="s">
        <v>2370</v>
      </c>
      <c r="C37" s="20">
        <v>2</v>
      </c>
      <c r="D37" s="18">
        <v>112.5</v>
      </c>
      <c r="E37" s="18">
        <v>275</v>
      </c>
      <c r="F37" s="20" t="s">
        <v>955</v>
      </c>
      <c r="G37" s="17" t="s">
        <v>51</v>
      </c>
      <c r="H37" s="19" t="s">
        <v>62</v>
      </c>
      <c r="I37" s="18">
        <v>75</v>
      </c>
      <c r="J37" s="17" t="s">
        <v>133</v>
      </c>
      <c r="K37" s="17" t="s">
        <v>953</v>
      </c>
      <c r="L37" s="17"/>
      <c r="M37" s="17"/>
      <c r="N37" s="16" t="str">
        <f>HYPERLINK("http://slimages.macys.com/is/image/MCY/19449478 ")</f>
        <v xml:space="preserve">http://slimages.macys.com/is/image/MCY/19449478 </v>
      </c>
      <c r="O37" s="30"/>
    </row>
    <row r="38" spans="1:15" ht="60" x14ac:dyDescent="0.25">
      <c r="A38" s="19" t="s">
        <v>2369</v>
      </c>
      <c r="B38" s="17" t="s">
        <v>2368</v>
      </c>
      <c r="C38" s="20">
        <v>1</v>
      </c>
      <c r="D38" s="18">
        <v>96.3</v>
      </c>
      <c r="E38" s="18">
        <v>235</v>
      </c>
      <c r="F38" s="20" t="s">
        <v>1570</v>
      </c>
      <c r="G38" s="17" t="s">
        <v>23</v>
      </c>
      <c r="H38" s="19" t="s">
        <v>954</v>
      </c>
      <c r="I38" s="18">
        <v>64.2</v>
      </c>
      <c r="J38" s="17" t="s">
        <v>133</v>
      </c>
      <c r="K38" s="17" t="s">
        <v>953</v>
      </c>
      <c r="L38" s="17"/>
      <c r="M38" s="17"/>
      <c r="N38" s="16" t="str">
        <f t="shared" ref="N38:N47" si="1">HYPERLINK("http://slimages.macys.com/is/image/MCY/19769124 ")</f>
        <v xml:space="preserve">http://slimages.macys.com/is/image/MCY/19769124 </v>
      </c>
      <c r="O38" s="30"/>
    </row>
    <row r="39" spans="1:15" ht="60" x14ac:dyDescent="0.25">
      <c r="A39" s="19" t="s">
        <v>2367</v>
      </c>
      <c r="B39" s="17" t="s">
        <v>2366</v>
      </c>
      <c r="C39" s="20">
        <v>2</v>
      </c>
      <c r="D39" s="18">
        <v>96.3</v>
      </c>
      <c r="E39" s="18">
        <v>235</v>
      </c>
      <c r="F39" s="20" t="s">
        <v>1570</v>
      </c>
      <c r="G39" s="17" t="s">
        <v>75</v>
      </c>
      <c r="H39" s="19" t="s">
        <v>69</v>
      </c>
      <c r="I39" s="18">
        <v>64.2</v>
      </c>
      <c r="J39" s="17" t="s">
        <v>133</v>
      </c>
      <c r="K39" s="17" t="s">
        <v>953</v>
      </c>
      <c r="L39" s="17"/>
      <c r="M39" s="17"/>
      <c r="N39" s="16" t="str">
        <f t="shared" si="1"/>
        <v xml:space="preserve">http://slimages.macys.com/is/image/MCY/19769124 </v>
      </c>
      <c r="O39" s="30"/>
    </row>
    <row r="40" spans="1:15" ht="60" x14ac:dyDescent="0.25">
      <c r="A40" s="19" t="s">
        <v>2365</v>
      </c>
      <c r="B40" s="17" t="s">
        <v>2364</v>
      </c>
      <c r="C40" s="20">
        <v>2</v>
      </c>
      <c r="D40" s="18">
        <v>96.3</v>
      </c>
      <c r="E40" s="18">
        <v>235</v>
      </c>
      <c r="F40" s="20" t="s">
        <v>1570</v>
      </c>
      <c r="G40" s="17" t="s">
        <v>51</v>
      </c>
      <c r="H40" s="19" t="s">
        <v>69</v>
      </c>
      <c r="I40" s="18">
        <v>64.2</v>
      </c>
      <c r="J40" s="17" t="s">
        <v>133</v>
      </c>
      <c r="K40" s="17" t="s">
        <v>953</v>
      </c>
      <c r="L40" s="17"/>
      <c r="M40" s="17"/>
      <c r="N40" s="16" t="str">
        <f t="shared" si="1"/>
        <v xml:space="preserve">http://slimages.macys.com/is/image/MCY/19769124 </v>
      </c>
      <c r="O40" s="30"/>
    </row>
    <row r="41" spans="1:15" ht="60" x14ac:dyDescent="0.25">
      <c r="A41" s="19" t="s">
        <v>2363</v>
      </c>
      <c r="B41" s="17" t="s">
        <v>2362</v>
      </c>
      <c r="C41" s="20">
        <v>1</v>
      </c>
      <c r="D41" s="18">
        <v>96.3</v>
      </c>
      <c r="E41" s="18">
        <v>235</v>
      </c>
      <c r="F41" s="20" t="s">
        <v>1570</v>
      </c>
      <c r="G41" s="17" t="s">
        <v>23</v>
      </c>
      <c r="H41" s="19" t="s">
        <v>69</v>
      </c>
      <c r="I41" s="18">
        <v>64.2</v>
      </c>
      <c r="J41" s="17" t="s">
        <v>133</v>
      </c>
      <c r="K41" s="17" t="s">
        <v>953</v>
      </c>
      <c r="L41" s="17"/>
      <c r="M41" s="17"/>
      <c r="N41" s="16" t="str">
        <f t="shared" si="1"/>
        <v xml:space="preserve">http://slimages.macys.com/is/image/MCY/19769124 </v>
      </c>
      <c r="O41" s="30"/>
    </row>
    <row r="42" spans="1:15" ht="60" x14ac:dyDescent="0.25">
      <c r="A42" s="19" t="s">
        <v>2361</v>
      </c>
      <c r="B42" s="17" t="s">
        <v>2360</v>
      </c>
      <c r="C42" s="20">
        <v>1</v>
      </c>
      <c r="D42" s="18">
        <v>96.3</v>
      </c>
      <c r="E42" s="18">
        <v>235</v>
      </c>
      <c r="F42" s="20" t="s">
        <v>1570</v>
      </c>
      <c r="G42" s="17" t="s">
        <v>75</v>
      </c>
      <c r="H42" s="19" t="s">
        <v>62</v>
      </c>
      <c r="I42" s="18">
        <v>64.2</v>
      </c>
      <c r="J42" s="17" t="s">
        <v>133</v>
      </c>
      <c r="K42" s="17" t="s">
        <v>953</v>
      </c>
      <c r="L42" s="17"/>
      <c r="M42" s="17"/>
      <c r="N42" s="16" t="str">
        <f t="shared" si="1"/>
        <v xml:space="preserve">http://slimages.macys.com/is/image/MCY/19769124 </v>
      </c>
      <c r="O42" s="30"/>
    </row>
    <row r="43" spans="1:15" ht="60" x14ac:dyDescent="0.25">
      <c r="A43" s="19" t="s">
        <v>2359</v>
      </c>
      <c r="B43" s="17" t="s">
        <v>2358</v>
      </c>
      <c r="C43" s="20">
        <v>1</v>
      </c>
      <c r="D43" s="18">
        <v>96.3</v>
      </c>
      <c r="E43" s="18">
        <v>235</v>
      </c>
      <c r="F43" s="20" t="s">
        <v>1570</v>
      </c>
      <c r="G43" s="17" t="s">
        <v>23</v>
      </c>
      <c r="H43" s="19" t="s">
        <v>62</v>
      </c>
      <c r="I43" s="18">
        <v>64.2</v>
      </c>
      <c r="J43" s="17" t="s">
        <v>133</v>
      </c>
      <c r="K43" s="17" t="s">
        <v>953</v>
      </c>
      <c r="L43" s="17"/>
      <c r="M43" s="17"/>
      <c r="N43" s="16" t="str">
        <f t="shared" si="1"/>
        <v xml:space="preserve">http://slimages.macys.com/is/image/MCY/19769124 </v>
      </c>
      <c r="O43" s="30"/>
    </row>
    <row r="44" spans="1:15" ht="60" x14ac:dyDescent="0.25">
      <c r="A44" s="19" t="s">
        <v>2357</v>
      </c>
      <c r="B44" s="17" t="s">
        <v>2356</v>
      </c>
      <c r="C44" s="20">
        <v>2</v>
      </c>
      <c r="D44" s="18">
        <v>96.3</v>
      </c>
      <c r="E44" s="18">
        <v>235</v>
      </c>
      <c r="F44" s="20" t="s">
        <v>1570</v>
      </c>
      <c r="G44" s="17" t="s">
        <v>51</v>
      </c>
      <c r="H44" s="19" t="s">
        <v>62</v>
      </c>
      <c r="I44" s="18">
        <v>64.2</v>
      </c>
      <c r="J44" s="17" t="s">
        <v>133</v>
      </c>
      <c r="K44" s="17" t="s">
        <v>953</v>
      </c>
      <c r="L44" s="17"/>
      <c r="M44" s="17"/>
      <c r="N44" s="16" t="str">
        <f t="shared" si="1"/>
        <v xml:space="preserve">http://slimages.macys.com/is/image/MCY/19769124 </v>
      </c>
      <c r="O44" s="30"/>
    </row>
    <row r="45" spans="1:15" ht="60" x14ac:dyDescent="0.25">
      <c r="A45" s="19" t="s">
        <v>2355</v>
      </c>
      <c r="B45" s="17" t="s">
        <v>2354</v>
      </c>
      <c r="C45" s="20">
        <v>1</v>
      </c>
      <c r="D45" s="18">
        <v>96.3</v>
      </c>
      <c r="E45" s="18">
        <v>235</v>
      </c>
      <c r="F45" s="20" t="s">
        <v>1570</v>
      </c>
      <c r="G45" s="17" t="s">
        <v>23</v>
      </c>
      <c r="H45" s="19" t="s">
        <v>197</v>
      </c>
      <c r="I45" s="18">
        <v>64.2</v>
      </c>
      <c r="J45" s="17" t="s">
        <v>133</v>
      </c>
      <c r="K45" s="17" t="s">
        <v>953</v>
      </c>
      <c r="L45" s="17"/>
      <c r="M45" s="17"/>
      <c r="N45" s="16" t="str">
        <f t="shared" si="1"/>
        <v xml:space="preserve">http://slimages.macys.com/is/image/MCY/19769124 </v>
      </c>
      <c r="O45" s="30"/>
    </row>
    <row r="46" spans="1:15" ht="60" x14ac:dyDescent="0.25">
      <c r="A46" s="19" t="s">
        <v>2353</v>
      </c>
      <c r="B46" s="17" t="s">
        <v>2352</v>
      </c>
      <c r="C46" s="20">
        <v>1</v>
      </c>
      <c r="D46" s="18">
        <v>96.3</v>
      </c>
      <c r="E46" s="18">
        <v>235</v>
      </c>
      <c r="F46" s="20" t="s">
        <v>1570</v>
      </c>
      <c r="G46" s="17" t="s">
        <v>51</v>
      </c>
      <c r="H46" s="19" t="s">
        <v>197</v>
      </c>
      <c r="I46" s="18">
        <v>64.2</v>
      </c>
      <c r="J46" s="17" t="s">
        <v>133</v>
      </c>
      <c r="K46" s="17" t="s">
        <v>953</v>
      </c>
      <c r="L46" s="17"/>
      <c r="M46" s="17"/>
      <c r="N46" s="16" t="str">
        <f t="shared" si="1"/>
        <v xml:space="preserve">http://slimages.macys.com/is/image/MCY/19769124 </v>
      </c>
      <c r="O46" s="30"/>
    </row>
    <row r="47" spans="1:15" ht="60" x14ac:dyDescent="0.25">
      <c r="A47" s="19" t="s">
        <v>2351</v>
      </c>
      <c r="B47" s="17" t="s">
        <v>2350</v>
      </c>
      <c r="C47" s="20">
        <v>1</v>
      </c>
      <c r="D47" s="18">
        <v>96.3</v>
      </c>
      <c r="E47" s="18">
        <v>235</v>
      </c>
      <c r="F47" s="20" t="s">
        <v>1570</v>
      </c>
      <c r="G47" s="17" t="s">
        <v>51</v>
      </c>
      <c r="H47" s="19" t="s">
        <v>74</v>
      </c>
      <c r="I47" s="18">
        <v>64.2</v>
      </c>
      <c r="J47" s="17" t="s">
        <v>133</v>
      </c>
      <c r="K47" s="17" t="s">
        <v>953</v>
      </c>
      <c r="L47" s="17"/>
      <c r="M47" s="17"/>
      <c r="N47" s="16" t="str">
        <f t="shared" si="1"/>
        <v xml:space="preserve">http://slimages.macys.com/is/image/MCY/19769124 </v>
      </c>
      <c r="O47" s="30"/>
    </row>
    <row r="48" spans="1:15" ht="60" x14ac:dyDescent="0.25">
      <c r="A48" s="19" t="s">
        <v>2349</v>
      </c>
      <c r="B48" s="17" t="s">
        <v>2348</v>
      </c>
      <c r="C48" s="20">
        <v>2</v>
      </c>
      <c r="D48" s="18">
        <v>91.8</v>
      </c>
      <c r="E48" s="18">
        <v>225</v>
      </c>
      <c r="F48" s="20" t="s">
        <v>2347</v>
      </c>
      <c r="G48" s="17" t="s">
        <v>508</v>
      </c>
      <c r="H48" s="19" t="s">
        <v>69</v>
      </c>
      <c r="I48" s="18">
        <v>61.2</v>
      </c>
      <c r="J48" s="17" t="s">
        <v>133</v>
      </c>
      <c r="K48" s="17" t="s">
        <v>953</v>
      </c>
      <c r="L48" s="17"/>
      <c r="M48" s="17"/>
      <c r="N48" s="16" t="str">
        <f>HYPERLINK("http://slimages.macys.com/is/image/MCY/19446885 ")</f>
        <v xml:space="preserve">http://slimages.macys.com/is/image/MCY/19446885 </v>
      </c>
      <c r="O48" s="30"/>
    </row>
    <row r="49" spans="1:15" ht="60" x14ac:dyDescent="0.25">
      <c r="A49" s="19" t="s">
        <v>2346</v>
      </c>
      <c r="B49" s="17" t="s">
        <v>2345</v>
      </c>
      <c r="C49" s="20">
        <v>1</v>
      </c>
      <c r="D49" s="18">
        <v>90</v>
      </c>
      <c r="E49" s="18">
        <v>198</v>
      </c>
      <c r="F49" s="20" t="s">
        <v>150</v>
      </c>
      <c r="G49" s="17" t="s">
        <v>149</v>
      </c>
      <c r="H49" s="19" t="s">
        <v>419</v>
      </c>
      <c r="I49" s="18">
        <v>60</v>
      </c>
      <c r="J49" s="17" t="s">
        <v>148</v>
      </c>
      <c r="K49" s="17" t="s">
        <v>147</v>
      </c>
      <c r="L49" s="17"/>
      <c r="M49" s="17"/>
      <c r="N49" s="16" t="str">
        <f>HYPERLINK("http://slimages.macys.com/is/image/MCY/19074094 ")</f>
        <v xml:space="preserve">http://slimages.macys.com/is/image/MCY/19074094 </v>
      </c>
      <c r="O49" s="30"/>
    </row>
    <row r="50" spans="1:15" ht="72" x14ac:dyDescent="0.25">
      <c r="A50" s="19" t="s">
        <v>2344</v>
      </c>
      <c r="B50" s="17" t="s">
        <v>2343</v>
      </c>
      <c r="C50" s="20">
        <v>1</v>
      </c>
      <c r="D50" s="18">
        <v>87.15</v>
      </c>
      <c r="E50" s="18">
        <v>249</v>
      </c>
      <c r="F50" s="20" t="s">
        <v>2342</v>
      </c>
      <c r="G50" s="17" t="s">
        <v>85</v>
      </c>
      <c r="H50" s="19" t="s">
        <v>749</v>
      </c>
      <c r="I50" s="18">
        <v>58.1</v>
      </c>
      <c r="J50" s="17" t="s">
        <v>854</v>
      </c>
      <c r="K50" s="17" t="s">
        <v>496</v>
      </c>
      <c r="L50" s="17" t="s">
        <v>389</v>
      </c>
      <c r="M50" s="17" t="s">
        <v>2341</v>
      </c>
      <c r="N50" s="16" t="str">
        <f>HYPERLINK("http://slimages.macys.com/is/image/MCY/18928401 ")</f>
        <v xml:space="preserve">http://slimages.macys.com/is/image/MCY/18928401 </v>
      </c>
      <c r="O50" s="30"/>
    </row>
    <row r="51" spans="1:15" ht="60" x14ac:dyDescent="0.25">
      <c r="A51" s="19" t="s">
        <v>2340</v>
      </c>
      <c r="B51" s="17" t="s">
        <v>2339</v>
      </c>
      <c r="C51" s="20">
        <v>1</v>
      </c>
      <c r="D51" s="18">
        <v>85.5</v>
      </c>
      <c r="E51" s="18">
        <v>210</v>
      </c>
      <c r="F51" s="20" t="s">
        <v>2338</v>
      </c>
      <c r="G51" s="17" t="s">
        <v>1382</v>
      </c>
      <c r="H51" s="19" t="s">
        <v>62</v>
      </c>
      <c r="I51" s="18">
        <v>57.000000000000007</v>
      </c>
      <c r="J51" s="17" t="s">
        <v>133</v>
      </c>
      <c r="K51" s="17" t="s">
        <v>953</v>
      </c>
      <c r="L51" s="17"/>
      <c r="M51" s="17"/>
      <c r="N51" s="16" t="str">
        <f>HYPERLINK("http://slimages.macys.com/is/image/MCY/19448682 ")</f>
        <v xml:space="preserve">http://slimages.macys.com/is/image/MCY/19448682 </v>
      </c>
      <c r="O51" s="30"/>
    </row>
    <row r="52" spans="1:15" ht="48" x14ac:dyDescent="0.25">
      <c r="A52" s="19" t="s">
        <v>2337</v>
      </c>
      <c r="B52" s="17" t="s">
        <v>2336</v>
      </c>
      <c r="C52" s="20">
        <v>1</v>
      </c>
      <c r="D52" s="18">
        <v>83.6</v>
      </c>
      <c r="E52" s="18">
        <v>178</v>
      </c>
      <c r="F52" s="20" t="s">
        <v>2335</v>
      </c>
      <c r="G52" s="17" t="s">
        <v>764</v>
      </c>
      <c r="H52" s="19" t="s">
        <v>2334</v>
      </c>
      <c r="I52" s="18">
        <v>55.733333333333334</v>
      </c>
      <c r="J52" s="17" t="s">
        <v>153</v>
      </c>
      <c r="K52" s="17" t="s">
        <v>153</v>
      </c>
      <c r="L52" s="17"/>
      <c r="M52" s="17"/>
      <c r="N52" s="16" t="str">
        <f>HYPERLINK("http://slimages.macys.com/is/image/MCY/18446759 ")</f>
        <v xml:space="preserve">http://slimages.macys.com/is/image/MCY/18446759 </v>
      </c>
      <c r="O52" s="30"/>
    </row>
    <row r="53" spans="1:15" ht="60" x14ac:dyDescent="0.25">
      <c r="A53" s="19" t="s">
        <v>2333</v>
      </c>
      <c r="B53" s="17" t="s">
        <v>2332</v>
      </c>
      <c r="C53" s="20">
        <v>2</v>
      </c>
      <c r="D53" s="18">
        <v>80.099999999999994</v>
      </c>
      <c r="E53" s="18">
        <v>195</v>
      </c>
      <c r="F53" s="20" t="s">
        <v>1556</v>
      </c>
      <c r="G53" s="17" t="s">
        <v>726</v>
      </c>
      <c r="H53" s="19" t="s">
        <v>62</v>
      </c>
      <c r="I53" s="18">
        <v>53.4</v>
      </c>
      <c r="J53" s="17" t="s">
        <v>133</v>
      </c>
      <c r="K53" s="17" t="s">
        <v>953</v>
      </c>
      <c r="L53" s="17"/>
      <c r="M53" s="17"/>
      <c r="N53" s="16" t="str">
        <f>HYPERLINK("http://slimages.macys.com/is/image/MCY/19448721 ")</f>
        <v xml:space="preserve">http://slimages.macys.com/is/image/MCY/19448721 </v>
      </c>
      <c r="O53" s="30"/>
    </row>
    <row r="54" spans="1:15" ht="60" x14ac:dyDescent="0.25">
      <c r="A54" s="19" t="s">
        <v>2331</v>
      </c>
      <c r="B54" s="17" t="s">
        <v>2330</v>
      </c>
      <c r="C54" s="20">
        <v>2</v>
      </c>
      <c r="D54" s="18">
        <v>80.099999999999994</v>
      </c>
      <c r="E54" s="18">
        <v>195</v>
      </c>
      <c r="F54" s="20" t="s">
        <v>1556</v>
      </c>
      <c r="G54" s="17" t="s">
        <v>726</v>
      </c>
      <c r="H54" s="19" t="s">
        <v>197</v>
      </c>
      <c r="I54" s="18">
        <v>53.4</v>
      </c>
      <c r="J54" s="17" t="s">
        <v>133</v>
      </c>
      <c r="K54" s="17" t="s">
        <v>953</v>
      </c>
      <c r="L54" s="17"/>
      <c r="M54" s="17"/>
      <c r="N54" s="16" t="str">
        <f>HYPERLINK("http://slimages.macys.com/is/image/MCY/19448721 ")</f>
        <v xml:space="preserve">http://slimages.macys.com/is/image/MCY/19448721 </v>
      </c>
      <c r="O54" s="30"/>
    </row>
    <row r="55" spans="1:15" ht="60" x14ac:dyDescent="0.25">
      <c r="A55" s="19" t="s">
        <v>2329</v>
      </c>
      <c r="B55" s="17" t="s">
        <v>2328</v>
      </c>
      <c r="C55" s="20">
        <v>1</v>
      </c>
      <c r="D55" s="18">
        <v>80.099999999999994</v>
      </c>
      <c r="E55" s="18">
        <v>195</v>
      </c>
      <c r="F55" s="20" t="s">
        <v>1551</v>
      </c>
      <c r="G55" s="17" t="s">
        <v>508</v>
      </c>
      <c r="H55" s="19" t="s">
        <v>197</v>
      </c>
      <c r="I55" s="18">
        <v>53.4</v>
      </c>
      <c r="J55" s="17" t="s">
        <v>133</v>
      </c>
      <c r="K55" s="17" t="s">
        <v>953</v>
      </c>
      <c r="L55" s="17"/>
      <c r="M55" s="17"/>
      <c r="N55" s="16" t="str">
        <f>HYPERLINK("http://slimages.macys.com/is/image/MCY/19449277 ")</f>
        <v xml:space="preserve">http://slimages.macys.com/is/image/MCY/19449277 </v>
      </c>
      <c r="O55" s="30"/>
    </row>
    <row r="56" spans="1:15" ht="48" x14ac:dyDescent="0.25">
      <c r="A56" s="19" t="s">
        <v>2327</v>
      </c>
      <c r="B56" s="17" t="s">
        <v>2326</v>
      </c>
      <c r="C56" s="20">
        <v>1</v>
      </c>
      <c r="D56" s="18">
        <v>76.56</v>
      </c>
      <c r="E56" s="18">
        <v>178</v>
      </c>
      <c r="F56" s="20" t="s">
        <v>2325</v>
      </c>
      <c r="G56" s="17" t="s">
        <v>2324</v>
      </c>
      <c r="H56" s="19" t="s">
        <v>62</v>
      </c>
      <c r="I56" s="18">
        <v>51.04</v>
      </c>
      <c r="J56" s="17" t="s">
        <v>153</v>
      </c>
      <c r="K56" s="17" t="s">
        <v>153</v>
      </c>
      <c r="L56" s="17"/>
      <c r="M56" s="17"/>
      <c r="N56" s="16" t="str">
        <f>HYPERLINK("http://slimages.macys.com/is/image/MCY/19201211 ")</f>
        <v xml:space="preserve">http://slimages.macys.com/is/image/MCY/19201211 </v>
      </c>
      <c r="O56" s="30"/>
    </row>
    <row r="57" spans="1:15" ht="48" x14ac:dyDescent="0.25">
      <c r="A57" s="19" t="s">
        <v>2323</v>
      </c>
      <c r="B57" s="17" t="s">
        <v>2322</v>
      </c>
      <c r="C57" s="20">
        <v>1</v>
      </c>
      <c r="D57" s="18">
        <v>75.84</v>
      </c>
      <c r="E57" s="18">
        <v>190</v>
      </c>
      <c r="F57" s="20">
        <v>316111122000040</v>
      </c>
      <c r="G57" s="17" t="s">
        <v>70</v>
      </c>
      <c r="H57" s="19" t="s">
        <v>96</v>
      </c>
      <c r="I57" s="18">
        <v>50.56</v>
      </c>
      <c r="J57" s="17" t="s">
        <v>158</v>
      </c>
      <c r="K57" s="17" t="s">
        <v>946</v>
      </c>
      <c r="L57" s="17"/>
      <c r="M57" s="17"/>
      <c r="N57" s="16" t="str">
        <f>HYPERLINK("http://slimages.macys.com/is/image/MCY/19181282 ")</f>
        <v xml:space="preserve">http://slimages.macys.com/is/image/MCY/19181282 </v>
      </c>
      <c r="O57" s="30"/>
    </row>
    <row r="58" spans="1:15" ht="48" x14ac:dyDescent="0.25">
      <c r="A58" s="19" t="s">
        <v>2321</v>
      </c>
      <c r="B58" s="17" t="s">
        <v>2320</v>
      </c>
      <c r="C58" s="20">
        <v>1</v>
      </c>
      <c r="D58" s="18">
        <v>75.84</v>
      </c>
      <c r="E58" s="18">
        <v>190</v>
      </c>
      <c r="F58" s="20">
        <v>316111122000040</v>
      </c>
      <c r="G58" s="17" t="s">
        <v>70</v>
      </c>
      <c r="H58" s="19" t="s">
        <v>898</v>
      </c>
      <c r="I58" s="18">
        <v>50.56</v>
      </c>
      <c r="J58" s="17" t="s">
        <v>158</v>
      </c>
      <c r="K58" s="17" t="s">
        <v>946</v>
      </c>
      <c r="L58" s="17"/>
      <c r="M58" s="17"/>
      <c r="N58" s="16" t="str">
        <f>HYPERLINK("http://slimages.macys.com/is/image/MCY/19181282 ")</f>
        <v xml:space="preserve">http://slimages.macys.com/is/image/MCY/19181282 </v>
      </c>
      <c r="O58" s="30"/>
    </row>
    <row r="59" spans="1:15" ht="60" x14ac:dyDescent="0.25">
      <c r="A59" s="19" t="s">
        <v>2319</v>
      </c>
      <c r="B59" s="17" t="s">
        <v>2318</v>
      </c>
      <c r="C59" s="20">
        <v>1</v>
      </c>
      <c r="D59" s="18">
        <v>75.599999999999994</v>
      </c>
      <c r="E59" s="18">
        <v>195</v>
      </c>
      <c r="F59" s="20" t="s">
        <v>1540</v>
      </c>
      <c r="G59" s="17" t="s">
        <v>562</v>
      </c>
      <c r="H59" s="19" t="s">
        <v>197</v>
      </c>
      <c r="I59" s="18">
        <v>50.4</v>
      </c>
      <c r="J59" s="17" t="s">
        <v>133</v>
      </c>
      <c r="K59" s="17" t="s">
        <v>953</v>
      </c>
      <c r="L59" s="17"/>
      <c r="M59" s="17"/>
      <c r="N59" s="16" t="str">
        <f>HYPERLINK("http://slimages.macys.com/is/image/MCY/19448688 ")</f>
        <v xml:space="preserve">http://slimages.macys.com/is/image/MCY/19448688 </v>
      </c>
      <c r="O59" s="30"/>
    </row>
    <row r="60" spans="1:15" ht="60" x14ac:dyDescent="0.25">
      <c r="A60" s="19" t="s">
        <v>2317</v>
      </c>
      <c r="B60" s="17" t="s">
        <v>2316</v>
      </c>
      <c r="C60" s="20">
        <v>4</v>
      </c>
      <c r="D60" s="18">
        <v>75.599999999999994</v>
      </c>
      <c r="E60" s="18">
        <v>195</v>
      </c>
      <c r="F60" s="20" t="s">
        <v>1540</v>
      </c>
      <c r="G60" s="17" t="s">
        <v>562</v>
      </c>
      <c r="H60" s="19" t="s">
        <v>69</v>
      </c>
      <c r="I60" s="18">
        <v>50.4</v>
      </c>
      <c r="J60" s="17" t="s">
        <v>133</v>
      </c>
      <c r="K60" s="17" t="s">
        <v>953</v>
      </c>
      <c r="L60" s="17"/>
      <c r="M60" s="17"/>
      <c r="N60" s="16" t="str">
        <f>HYPERLINK("http://slimages.macys.com/is/image/MCY/19448688 ")</f>
        <v xml:space="preserve">http://slimages.macys.com/is/image/MCY/19448688 </v>
      </c>
      <c r="O60" s="30"/>
    </row>
    <row r="61" spans="1:15" ht="60" x14ac:dyDescent="0.25">
      <c r="A61" s="19" t="s">
        <v>2315</v>
      </c>
      <c r="B61" s="17" t="s">
        <v>2314</v>
      </c>
      <c r="C61" s="20">
        <v>1</v>
      </c>
      <c r="D61" s="18">
        <v>75.599999999999994</v>
      </c>
      <c r="E61" s="18">
        <v>195</v>
      </c>
      <c r="F61" s="20" t="s">
        <v>1540</v>
      </c>
      <c r="G61" s="17" t="s">
        <v>51</v>
      </c>
      <c r="H61" s="19" t="s">
        <v>197</v>
      </c>
      <c r="I61" s="18">
        <v>50.4</v>
      </c>
      <c r="J61" s="17" t="s">
        <v>133</v>
      </c>
      <c r="K61" s="17" t="s">
        <v>953</v>
      </c>
      <c r="L61" s="17"/>
      <c r="M61" s="17"/>
      <c r="N61" s="16" t="str">
        <f>HYPERLINK("http://slimages.macys.com/is/image/MCY/19448688 ")</f>
        <v xml:space="preserve">http://slimages.macys.com/is/image/MCY/19448688 </v>
      </c>
      <c r="O61" s="30"/>
    </row>
    <row r="62" spans="1:15" ht="48" x14ac:dyDescent="0.25">
      <c r="A62" s="19" t="s">
        <v>2313</v>
      </c>
      <c r="B62" s="17" t="s">
        <v>2312</v>
      </c>
      <c r="C62" s="20">
        <v>1</v>
      </c>
      <c r="D62" s="18">
        <v>70</v>
      </c>
      <c r="E62" s="18">
        <v>140</v>
      </c>
      <c r="F62" s="20" t="s">
        <v>2311</v>
      </c>
      <c r="G62" s="17" t="s">
        <v>23</v>
      </c>
      <c r="H62" s="19" t="s">
        <v>62</v>
      </c>
      <c r="I62" s="18">
        <v>46.666666666666671</v>
      </c>
      <c r="J62" s="17" t="s">
        <v>133</v>
      </c>
      <c r="K62" s="17" t="s">
        <v>1530</v>
      </c>
      <c r="L62" s="17"/>
      <c r="M62" s="17"/>
      <c r="N62" s="16" t="str">
        <f>HYPERLINK("http://slimages.macys.com/is/image/MCY/19545591 ")</f>
        <v xml:space="preserve">http://slimages.macys.com/is/image/MCY/19545591 </v>
      </c>
      <c r="O62" s="30"/>
    </row>
    <row r="63" spans="1:15" ht="48" x14ac:dyDescent="0.25">
      <c r="A63" s="19" t="s">
        <v>2310</v>
      </c>
      <c r="B63" s="17" t="s">
        <v>2309</v>
      </c>
      <c r="C63" s="20">
        <v>1</v>
      </c>
      <c r="D63" s="18">
        <v>70</v>
      </c>
      <c r="E63" s="18">
        <v>140</v>
      </c>
      <c r="F63" s="20" t="s">
        <v>2306</v>
      </c>
      <c r="G63" s="17" t="s">
        <v>51</v>
      </c>
      <c r="H63" s="19" t="s">
        <v>69</v>
      </c>
      <c r="I63" s="18">
        <v>46.666666666666671</v>
      </c>
      <c r="J63" s="17" t="s">
        <v>133</v>
      </c>
      <c r="K63" s="17" t="s">
        <v>1530</v>
      </c>
      <c r="L63" s="17"/>
      <c r="M63" s="17"/>
      <c r="N63" s="16" t="str">
        <f>HYPERLINK("http://slimages.macys.com/is/image/MCY/19545469 ")</f>
        <v xml:space="preserve">http://slimages.macys.com/is/image/MCY/19545469 </v>
      </c>
      <c r="O63" s="30"/>
    </row>
    <row r="64" spans="1:15" ht="48" x14ac:dyDescent="0.25">
      <c r="A64" s="19" t="s">
        <v>2308</v>
      </c>
      <c r="B64" s="17" t="s">
        <v>2307</v>
      </c>
      <c r="C64" s="20">
        <v>1</v>
      </c>
      <c r="D64" s="18">
        <v>70</v>
      </c>
      <c r="E64" s="18">
        <v>140</v>
      </c>
      <c r="F64" s="20" t="s">
        <v>2306</v>
      </c>
      <c r="G64" s="17" t="s">
        <v>51</v>
      </c>
      <c r="H64" s="19" t="s">
        <v>74</v>
      </c>
      <c r="I64" s="18">
        <v>46.666666666666671</v>
      </c>
      <c r="J64" s="17" t="s">
        <v>133</v>
      </c>
      <c r="K64" s="17" t="s">
        <v>1530</v>
      </c>
      <c r="L64" s="17"/>
      <c r="M64" s="17"/>
      <c r="N64" s="16" t="str">
        <f>HYPERLINK("http://slimages.macys.com/is/image/MCY/19545469 ")</f>
        <v xml:space="preserve">http://slimages.macys.com/is/image/MCY/19545469 </v>
      </c>
      <c r="O64" s="30"/>
    </row>
    <row r="65" spans="1:15" ht="48" x14ac:dyDescent="0.25">
      <c r="A65" s="19" t="s">
        <v>2305</v>
      </c>
      <c r="B65" s="17" t="s">
        <v>2304</v>
      </c>
      <c r="C65" s="20">
        <v>1</v>
      </c>
      <c r="D65" s="18">
        <v>69.650000000000006</v>
      </c>
      <c r="E65" s="18">
        <v>199</v>
      </c>
      <c r="F65" s="20" t="s">
        <v>1676</v>
      </c>
      <c r="G65" s="17" t="s">
        <v>282</v>
      </c>
      <c r="H65" s="19" t="s">
        <v>116</v>
      </c>
      <c r="I65" s="18">
        <v>46.433333333333337</v>
      </c>
      <c r="J65" s="17" t="s">
        <v>854</v>
      </c>
      <c r="K65" s="17" t="s">
        <v>496</v>
      </c>
      <c r="L65" s="17"/>
      <c r="M65" s="17"/>
      <c r="N65" s="16" t="str">
        <f>HYPERLINK("http://slimages.macys.com/is/image/MCY/19041753 ")</f>
        <v xml:space="preserve">http://slimages.macys.com/is/image/MCY/19041753 </v>
      </c>
      <c r="O65" s="30"/>
    </row>
    <row r="66" spans="1:15" ht="48" x14ac:dyDescent="0.25">
      <c r="A66" s="19" t="s">
        <v>2303</v>
      </c>
      <c r="B66" s="17" t="s">
        <v>2302</v>
      </c>
      <c r="C66" s="20">
        <v>4</v>
      </c>
      <c r="D66" s="18">
        <v>68</v>
      </c>
      <c r="E66" s="18">
        <v>150</v>
      </c>
      <c r="F66" s="20" t="s">
        <v>2299</v>
      </c>
      <c r="G66" s="17" t="s">
        <v>91</v>
      </c>
      <c r="H66" s="19" t="s">
        <v>62</v>
      </c>
      <c r="I66" s="18">
        <v>45.333333333333336</v>
      </c>
      <c r="J66" s="17" t="s">
        <v>133</v>
      </c>
      <c r="K66" s="17" t="s">
        <v>1437</v>
      </c>
      <c r="L66" s="17"/>
      <c r="M66" s="17"/>
      <c r="N66" s="16" t="str">
        <f>HYPERLINK("http://slimages.macys.com/is/image/MCY/19439329 ")</f>
        <v xml:space="preserve">http://slimages.macys.com/is/image/MCY/19439329 </v>
      </c>
      <c r="O66" s="30"/>
    </row>
    <row r="67" spans="1:15" ht="48" x14ac:dyDescent="0.25">
      <c r="A67" s="19" t="s">
        <v>2301</v>
      </c>
      <c r="B67" s="17" t="s">
        <v>2300</v>
      </c>
      <c r="C67" s="20">
        <v>1</v>
      </c>
      <c r="D67" s="18">
        <v>68</v>
      </c>
      <c r="E67" s="18">
        <v>150</v>
      </c>
      <c r="F67" s="20" t="s">
        <v>2299</v>
      </c>
      <c r="G67" s="17" t="s">
        <v>91</v>
      </c>
      <c r="H67" s="19" t="s">
        <v>197</v>
      </c>
      <c r="I67" s="18">
        <v>45.333333333333336</v>
      </c>
      <c r="J67" s="17" t="s">
        <v>133</v>
      </c>
      <c r="K67" s="17" t="s">
        <v>1437</v>
      </c>
      <c r="L67" s="17"/>
      <c r="M67" s="17"/>
      <c r="N67" s="16" t="str">
        <f>HYPERLINK("http://slimages.macys.com/is/image/MCY/19439329 ")</f>
        <v xml:space="preserve">http://slimages.macys.com/is/image/MCY/19439329 </v>
      </c>
      <c r="O67" s="30"/>
    </row>
    <row r="68" spans="1:15" ht="48" x14ac:dyDescent="0.25">
      <c r="A68" s="19" t="s">
        <v>2298</v>
      </c>
      <c r="B68" s="17" t="s">
        <v>2297</v>
      </c>
      <c r="C68" s="20">
        <v>8</v>
      </c>
      <c r="D68" s="18">
        <v>67.86</v>
      </c>
      <c r="E68" s="18">
        <v>158</v>
      </c>
      <c r="F68" s="20" t="s">
        <v>2296</v>
      </c>
      <c r="G68" s="17" t="s">
        <v>562</v>
      </c>
      <c r="H68" s="19" t="s">
        <v>2295</v>
      </c>
      <c r="I68" s="18">
        <v>45.24</v>
      </c>
      <c r="J68" s="17" t="s">
        <v>756</v>
      </c>
      <c r="K68" s="17" t="s">
        <v>153</v>
      </c>
      <c r="L68" s="17"/>
      <c r="M68" s="17"/>
      <c r="N68" s="16" t="str">
        <f>HYPERLINK("http://slimages.macys.com/is/image/MCY/20102885 ")</f>
        <v xml:space="preserve">http://slimages.macys.com/is/image/MCY/20102885 </v>
      </c>
      <c r="O68" s="30"/>
    </row>
    <row r="69" spans="1:15" ht="48" x14ac:dyDescent="0.25">
      <c r="A69" s="19" t="s">
        <v>2294</v>
      </c>
      <c r="B69" s="17" t="s">
        <v>2293</v>
      </c>
      <c r="C69" s="20">
        <v>1</v>
      </c>
      <c r="D69" s="18">
        <v>67.5</v>
      </c>
      <c r="E69" s="18">
        <v>188</v>
      </c>
      <c r="F69" s="20" t="s">
        <v>2292</v>
      </c>
      <c r="G69" s="17" t="s">
        <v>726</v>
      </c>
      <c r="H69" s="19" t="s">
        <v>57</v>
      </c>
      <c r="I69" s="18">
        <v>45</v>
      </c>
      <c r="J69" s="17" t="s">
        <v>133</v>
      </c>
      <c r="K69" s="17" t="s">
        <v>132</v>
      </c>
      <c r="L69" s="17"/>
      <c r="M69" s="17"/>
      <c r="N69" s="16" t="str">
        <f>HYPERLINK("http://slimages.macys.com/is/image/MCY/19457575 ")</f>
        <v xml:space="preserve">http://slimages.macys.com/is/image/MCY/19457575 </v>
      </c>
      <c r="O69" s="30"/>
    </row>
    <row r="70" spans="1:15" ht="72" x14ac:dyDescent="0.25">
      <c r="A70" s="19" t="s">
        <v>2291</v>
      </c>
      <c r="B70" s="17" t="s">
        <v>2290</v>
      </c>
      <c r="C70" s="20">
        <v>1</v>
      </c>
      <c r="D70" s="18">
        <v>63</v>
      </c>
      <c r="E70" s="18">
        <v>179.99</v>
      </c>
      <c r="F70" s="20" t="s">
        <v>2289</v>
      </c>
      <c r="G70" s="17"/>
      <c r="H70" s="19" t="s">
        <v>898</v>
      </c>
      <c r="I70" s="18">
        <v>42</v>
      </c>
      <c r="J70" s="17" t="s">
        <v>854</v>
      </c>
      <c r="K70" s="17" t="s">
        <v>496</v>
      </c>
      <c r="L70" s="17" t="s">
        <v>389</v>
      </c>
      <c r="M70" s="17" t="s">
        <v>2288</v>
      </c>
      <c r="N70" s="16" t="str">
        <f>HYPERLINK("http://slimages.macys.com/is/image/MCY/16694795 ")</f>
        <v xml:space="preserve">http://slimages.macys.com/is/image/MCY/16694795 </v>
      </c>
      <c r="O70" s="30"/>
    </row>
    <row r="71" spans="1:15" ht="48" x14ac:dyDescent="0.25">
      <c r="A71" s="19" t="s">
        <v>2287</v>
      </c>
      <c r="B71" s="17" t="s">
        <v>2286</v>
      </c>
      <c r="C71" s="20">
        <v>2</v>
      </c>
      <c r="D71" s="18">
        <v>62</v>
      </c>
      <c r="E71" s="18">
        <v>155</v>
      </c>
      <c r="F71" s="20" t="s">
        <v>2285</v>
      </c>
      <c r="G71" s="17" t="s">
        <v>2284</v>
      </c>
      <c r="H71" s="19" t="s">
        <v>2283</v>
      </c>
      <c r="I71" s="18">
        <v>41.333333333333336</v>
      </c>
      <c r="J71" s="17" t="s">
        <v>481</v>
      </c>
      <c r="K71" s="17" t="s">
        <v>2282</v>
      </c>
      <c r="L71" s="17"/>
      <c r="M71" s="17"/>
      <c r="N71" s="16" t="str">
        <f>HYPERLINK("http://slimages.macys.com/is/image/MCY/16947055 ")</f>
        <v xml:space="preserve">http://slimages.macys.com/is/image/MCY/16947055 </v>
      </c>
      <c r="O71" s="30"/>
    </row>
    <row r="72" spans="1:15" ht="48" x14ac:dyDescent="0.25">
      <c r="A72" s="19" t="s">
        <v>2281</v>
      </c>
      <c r="B72" s="17" t="s">
        <v>2280</v>
      </c>
      <c r="C72" s="20">
        <v>1</v>
      </c>
      <c r="D72" s="18">
        <v>58.8</v>
      </c>
      <c r="E72" s="18">
        <v>168</v>
      </c>
      <c r="F72" s="20" t="s">
        <v>2279</v>
      </c>
      <c r="G72" s="17" t="s">
        <v>51</v>
      </c>
      <c r="H72" s="19" t="s">
        <v>57</v>
      </c>
      <c r="I72" s="18">
        <v>39.200000000000003</v>
      </c>
      <c r="J72" s="17" t="s">
        <v>133</v>
      </c>
      <c r="K72" s="17" t="s">
        <v>132</v>
      </c>
      <c r="L72" s="17"/>
      <c r="M72" s="17"/>
      <c r="N72" s="16" t="str">
        <f>HYPERLINK("http://slimages.macys.com/is/image/MCY/19797183 ")</f>
        <v xml:space="preserve">http://slimages.macys.com/is/image/MCY/19797183 </v>
      </c>
      <c r="O72" s="30"/>
    </row>
    <row r="73" spans="1:15" ht="60" x14ac:dyDescent="0.25">
      <c r="A73" s="19" t="s">
        <v>2278</v>
      </c>
      <c r="B73" s="17" t="s">
        <v>2277</v>
      </c>
      <c r="C73" s="20">
        <v>1</v>
      </c>
      <c r="D73" s="18">
        <v>58</v>
      </c>
      <c r="E73" s="18">
        <v>128</v>
      </c>
      <c r="F73" s="20" t="s">
        <v>2274</v>
      </c>
      <c r="G73" s="17" t="s">
        <v>51</v>
      </c>
      <c r="H73" s="19"/>
      <c r="I73" s="18">
        <v>38.666666666666664</v>
      </c>
      <c r="J73" s="17" t="s">
        <v>148</v>
      </c>
      <c r="K73" s="17" t="s">
        <v>147</v>
      </c>
      <c r="L73" s="17" t="s">
        <v>771</v>
      </c>
      <c r="M73" s="17" t="s">
        <v>2273</v>
      </c>
      <c r="N73" s="16" t="str">
        <f>HYPERLINK("http://images.bloomingdales.com/is/image/BLM/11350679 ")</f>
        <v xml:space="preserve">http://images.bloomingdales.com/is/image/BLM/11350679 </v>
      </c>
      <c r="O73" s="30"/>
    </row>
    <row r="74" spans="1:15" ht="60" x14ac:dyDescent="0.25">
      <c r="A74" s="19" t="s">
        <v>2276</v>
      </c>
      <c r="B74" s="17" t="s">
        <v>2275</v>
      </c>
      <c r="C74" s="20">
        <v>1</v>
      </c>
      <c r="D74" s="18">
        <v>58</v>
      </c>
      <c r="E74" s="18">
        <v>128</v>
      </c>
      <c r="F74" s="20" t="s">
        <v>2274</v>
      </c>
      <c r="G74" s="17" t="s">
        <v>51</v>
      </c>
      <c r="H74" s="19"/>
      <c r="I74" s="18">
        <v>38.666666666666664</v>
      </c>
      <c r="J74" s="17" t="s">
        <v>148</v>
      </c>
      <c r="K74" s="17" t="s">
        <v>147</v>
      </c>
      <c r="L74" s="17" t="s">
        <v>771</v>
      </c>
      <c r="M74" s="17" t="s">
        <v>2273</v>
      </c>
      <c r="N74" s="16" t="str">
        <f>HYPERLINK("http://images.bloomingdales.com/is/image/BLM/11350679 ")</f>
        <v xml:space="preserve">http://images.bloomingdales.com/is/image/BLM/11350679 </v>
      </c>
      <c r="O74" s="30"/>
    </row>
    <row r="75" spans="1:15" ht="60" x14ac:dyDescent="0.25">
      <c r="A75" s="19" t="s">
        <v>2272</v>
      </c>
      <c r="B75" s="17" t="s">
        <v>2271</v>
      </c>
      <c r="C75" s="20">
        <v>1</v>
      </c>
      <c r="D75" s="18">
        <v>58</v>
      </c>
      <c r="E75" s="18">
        <v>128</v>
      </c>
      <c r="F75" s="20" t="s">
        <v>2270</v>
      </c>
      <c r="G75" s="17" t="s">
        <v>508</v>
      </c>
      <c r="H75" s="19" t="s">
        <v>2269</v>
      </c>
      <c r="I75" s="18">
        <v>38.666666666666664</v>
      </c>
      <c r="J75" s="17" t="s">
        <v>148</v>
      </c>
      <c r="K75" s="17" t="s">
        <v>147</v>
      </c>
      <c r="L75" s="17" t="s">
        <v>771</v>
      </c>
      <c r="M75" s="17" t="s">
        <v>1724</v>
      </c>
      <c r="N75" s="16" t="str">
        <f>HYPERLINK("http://images.bloomingdales.com/is/image/BLM/11306993 ")</f>
        <v xml:space="preserve">http://images.bloomingdales.com/is/image/BLM/11306993 </v>
      </c>
      <c r="O75" s="30"/>
    </row>
    <row r="76" spans="1:15" ht="60" x14ac:dyDescent="0.25">
      <c r="A76" s="19" t="s">
        <v>2268</v>
      </c>
      <c r="B76" s="17" t="s">
        <v>2267</v>
      </c>
      <c r="C76" s="20">
        <v>1</v>
      </c>
      <c r="D76" s="18">
        <v>56.7</v>
      </c>
      <c r="E76" s="18">
        <v>158</v>
      </c>
      <c r="F76" s="20" t="s">
        <v>2266</v>
      </c>
      <c r="G76" s="17" t="s">
        <v>75</v>
      </c>
      <c r="H76" s="19" t="s">
        <v>74</v>
      </c>
      <c r="I76" s="18">
        <v>37.800000000000004</v>
      </c>
      <c r="J76" s="17" t="s">
        <v>133</v>
      </c>
      <c r="K76" s="17" t="s">
        <v>132</v>
      </c>
      <c r="L76" s="17" t="s">
        <v>637</v>
      </c>
      <c r="M76" s="17" t="s">
        <v>2265</v>
      </c>
      <c r="N76" s="16" t="str">
        <f>HYPERLINK("http://images.bloomingdales.com/is/image/BLM/11583102 ")</f>
        <v xml:space="preserve">http://images.bloomingdales.com/is/image/BLM/11583102 </v>
      </c>
      <c r="O76" s="30"/>
    </row>
    <row r="77" spans="1:15" ht="48" x14ac:dyDescent="0.25">
      <c r="A77" s="19" t="s">
        <v>2264</v>
      </c>
      <c r="B77" s="17" t="s">
        <v>2263</v>
      </c>
      <c r="C77" s="20">
        <v>10</v>
      </c>
      <c r="D77" s="18">
        <v>56.7</v>
      </c>
      <c r="E77" s="18">
        <v>158</v>
      </c>
      <c r="F77" s="20" t="s">
        <v>2262</v>
      </c>
      <c r="G77" s="17" t="s">
        <v>75</v>
      </c>
      <c r="H77" s="19" t="s">
        <v>57</v>
      </c>
      <c r="I77" s="18">
        <v>37.800000000000004</v>
      </c>
      <c r="J77" s="17" t="s">
        <v>133</v>
      </c>
      <c r="K77" s="17" t="s">
        <v>132</v>
      </c>
      <c r="L77" s="17"/>
      <c r="M77" s="17"/>
      <c r="N77" s="16" t="str">
        <f>HYPERLINK("http://slimages.macys.com/is/image/MCY/19457557 ")</f>
        <v xml:space="preserve">http://slimages.macys.com/is/image/MCY/19457557 </v>
      </c>
      <c r="O77" s="30"/>
    </row>
    <row r="78" spans="1:15" ht="60" x14ac:dyDescent="0.25">
      <c r="A78" s="19" t="s">
        <v>2261</v>
      </c>
      <c r="B78" s="17" t="s">
        <v>2260</v>
      </c>
      <c r="C78" s="20">
        <v>1</v>
      </c>
      <c r="D78" s="18">
        <v>54.9</v>
      </c>
      <c r="E78" s="18">
        <v>135</v>
      </c>
      <c r="F78" s="20" t="s">
        <v>1493</v>
      </c>
      <c r="G78" s="17" t="s">
        <v>51</v>
      </c>
      <c r="H78" s="19" t="s">
        <v>62</v>
      </c>
      <c r="I78" s="18">
        <v>36.6</v>
      </c>
      <c r="J78" s="17" t="s">
        <v>133</v>
      </c>
      <c r="K78" s="17" t="s">
        <v>953</v>
      </c>
      <c r="L78" s="17"/>
      <c r="M78" s="17"/>
      <c r="N78" s="16" t="str">
        <f>HYPERLINK("http://slimages.macys.com/is/image/MCY/19499558 ")</f>
        <v xml:space="preserve">http://slimages.macys.com/is/image/MCY/19499558 </v>
      </c>
      <c r="O78" s="30"/>
    </row>
    <row r="79" spans="1:15" ht="60" x14ac:dyDescent="0.25">
      <c r="A79" s="19" t="s">
        <v>2259</v>
      </c>
      <c r="B79" s="17" t="s">
        <v>2258</v>
      </c>
      <c r="C79" s="20">
        <v>2</v>
      </c>
      <c r="D79" s="18">
        <v>54.9</v>
      </c>
      <c r="E79" s="18">
        <v>135</v>
      </c>
      <c r="F79" s="20" t="s">
        <v>1493</v>
      </c>
      <c r="G79" s="17" t="s">
        <v>23</v>
      </c>
      <c r="H79" s="19" t="s">
        <v>69</v>
      </c>
      <c r="I79" s="18">
        <v>36.6</v>
      </c>
      <c r="J79" s="17" t="s">
        <v>133</v>
      </c>
      <c r="K79" s="17" t="s">
        <v>953</v>
      </c>
      <c r="L79" s="17"/>
      <c r="M79" s="17"/>
      <c r="N79" s="16" t="str">
        <f>HYPERLINK("http://slimages.macys.com/is/image/MCY/19499558 ")</f>
        <v xml:space="preserve">http://slimages.macys.com/is/image/MCY/19499558 </v>
      </c>
      <c r="O79" s="30"/>
    </row>
    <row r="80" spans="1:15" ht="60" x14ac:dyDescent="0.25">
      <c r="A80" s="19" t="s">
        <v>2257</v>
      </c>
      <c r="B80" s="17" t="s">
        <v>2256</v>
      </c>
      <c r="C80" s="20">
        <v>1</v>
      </c>
      <c r="D80" s="18">
        <v>54.9</v>
      </c>
      <c r="E80" s="18">
        <v>135</v>
      </c>
      <c r="F80" s="20" t="s">
        <v>1493</v>
      </c>
      <c r="G80" s="17" t="s">
        <v>75</v>
      </c>
      <c r="H80" s="19" t="s">
        <v>197</v>
      </c>
      <c r="I80" s="18">
        <v>36.6</v>
      </c>
      <c r="J80" s="17" t="s">
        <v>133</v>
      </c>
      <c r="K80" s="17" t="s">
        <v>953</v>
      </c>
      <c r="L80" s="17"/>
      <c r="M80" s="17"/>
      <c r="N80" s="16" t="str">
        <f>HYPERLINK("http://slimages.macys.com/is/image/MCY/19499558 ")</f>
        <v xml:space="preserve">http://slimages.macys.com/is/image/MCY/19499558 </v>
      </c>
      <c r="O80" s="30"/>
    </row>
    <row r="81" spans="1:15" ht="60" x14ac:dyDescent="0.25">
      <c r="A81" s="19" t="s">
        <v>2255</v>
      </c>
      <c r="B81" s="17" t="s">
        <v>2254</v>
      </c>
      <c r="C81" s="20">
        <v>2</v>
      </c>
      <c r="D81" s="18">
        <v>53</v>
      </c>
      <c r="E81" s="18">
        <v>138</v>
      </c>
      <c r="F81" s="20" t="s">
        <v>2253</v>
      </c>
      <c r="G81" s="17" t="s">
        <v>345</v>
      </c>
      <c r="H81" s="19" t="s">
        <v>57</v>
      </c>
      <c r="I81" s="18">
        <v>35.333333333333336</v>
      </c>
      <c r="J81" s="17" t="s">
        <v>133</v>
      </c>
      <c r="K81" s="17" t="s">
        <v>132</v>
      </c>
      <c r="L81" s="17" t="s">
        <v>637</v>
      </c>
      <c r="M81" s="17" t="s">
        <v>2252</v>
      </c>
      <c r="N81" s="16" t="str">
        <f>HYPERLINK("http://images.bloomingdales.com/is/image/BLM/11310808 ")</f>
        <v xml:space="preserve">http://images.bloomingdales.com/is/image/BLM/11310808 </v>
      </c>
      <c r="O81" s="30"/>
    </row>
    <row r="82" spans="1:15" ht="48" x14ac:dyDescent="0.25">
      <c r="A82" s="19" t="s">
        <v>2251</v>
      </c>
      <c r="B82" s="17" t="s">
        <v>2250</v>
      </c>
      <c r="C82" s="20">
        <v>1</v>
      </c>
      <c r="D82" s="18">
        <v>51.8</v>
      </c>
      <c r="E82" s="18">
        <v>148</v>
      </c>
      <c r="F82" s="20" t="s">
        <v>2249</v>
      </c>
      <c r="G82" s="17" t="s">
        <v>1356</v>
      </c>
      <c r="H82" s="19" t="s">
        <v>62</v>
      </c>
      <c r="I82" s="18">
        <v>34.533333333333331</v>
      </c>
      <c r="J82" s="17" t="s">
        <v>133</v>
      </c>
      <c r="K82" s="17" t="s">
        <v>132</v>
      </c>
      <c r="L82" s="17"/>
      <c r="M82" s="17"/>
      <c r="N82" s="16" t="str">
        <f>HYPERLINK("http://slimages.macys.com/is/image/MCY/19700324 ")</f>
        <v xml:space="preserve">http://slimages.macys.com/is/image/MCY/19700324 </v>
      </c>
      <c r="O82" s="30"/>
    </row>
    <row r="83" spans="1:15" ht="48" x14ac:dyDescent="0.25">
      <c r="A83" s="19" t="s">
        <v>2248</v>
      </c>
      <c r="B83" s="17" t="s">
        <v>2247</v>
      </c>
      <c r="C83" s="20">
        <v>2</v>
      </c>
      <c r="D83" s="18">
        <v>51.8</v>
      </c>
      <c r="E83" s="18">
        <v>148</v>
      </c>
      <c r="F83" s="20" t="s">
        <v>2244</v>
      </c>
      <c r="G83" s="17" t="s">
        <v>1356</v>
      </c>
      <c r="H83" s="19" t="s">
        <v>57</v>
      </c>
      <c r="I83" s="18">
        <v>34.533333333333331</v>
      </c>
      <c r="J83" s="17" t="s">
        <v>133</v>
      </c>
      <c r="K83" s="17" t="s">
        <v>132</v>
      </c>
      <c r="L83" s="17"/>
      <c r="M83" s="17"/>
      <c r="N83" s="16" t="str">
        <f>HYPERLINK("http://slimages.macys.com/is/image/MCY/19458534 ")</f>
        <v xml:space="preserve">http://slimages.macys.com/is/image/MCY/19458534 </v>
      </c>
      <c r="O83" s="30"/>
    </row>
    <row r="84" spans="1:15" ht="48" x14ac:dyDescent="0.25">
      <c r="A84" s="19" t="s">
        <v>2246</v>
      </c>
      <c r="B84" s="17" t="s">
        <v>2245</v>
      </c>
      <c r="C84" s="20">
        <v>1</v>
      </c>
      <c r="D84" s="18">
        <v>51.8</v>
      </c>
      <c r="E84" s="18">
        <v>148</v>
      </c>
      <c r="F84" s="20" t="s">
        <v>2244</v>
      </c>
      <c r="G84" s="17" t="s">
        <v>1356</v>
      </c>
      <c r="H84" s="19" t="s">
        <v>74</v>
      </c>
      <c r="I84" s="18">
        <v>34.533333333333331</v>
      </c>
      <c r="J84" s="17" t="s">
        <v>133</v>
      </c>
      <c r="K84" s="17" t="s">
        <v>132</v>
      </c>
      <c r="L84" s="17"/>
      <c r="M84" s="17"/>
      <c r="N84" s="16" t="str">
        <f>HYPERLINK("http://slimages.macys.com/is/image/MCY/19458534 ")</f>
        <v xml:space="preserve">http://slimages.macys.com/is/image/MCY/19458534 </v>
      </c>
      <c r="O84" s="30"/>
    </row>
    <row r="85" spans="1:15" ht="60" x14ac:dyDescent="0.25">
      <c r="A85" s="19" t="s">
        <v>2243</v>
      </c>
      <c r="B85" s="17" t="s">
        <v>2242</v>
      </c>
      <c r="C85" s="20">
        <v>2</v>
      </c>
      <c r="D85" s="18">
        <v>49.5</v>
      </c>
      <c r="E85" s="18">
        <v>138</v>
      </c>
      <c r="F85" s="20" t="s">
        <v>2239</v>
      </c>
      <c r="G85" s="17"/>
      <c r="H85" s="19" t="s">
        <v>62</v>
      </c>
      <c r="I85" s="18">
        <v>33</v>
      </c>
      <c r="J85" s="17" t="s">
        <v>133</v>
      </c>
      <c r="K85" s="17" t="s">
        <v>132</v>
      </c>
      <c r="L85" s="17" t="s">
        <v>637</v>
      </c>
      <c r="M85" s="17" t="s">
        <v>2238</v>
      </c>
      <c r="N85" s="16" t="str">
        <f>HYPERLINK("http://images.bloomingdales.com/is/image/BLM/11402583 ")</f>
        <v xml:space="preserve">http://images.bloomingdales.com/is/image/BLM/11402583 </v>
      </c>
      <c r="O85" s="30"/>
    </row>
    <row r="86" spans="1:15" ht="60" x14ac:dyDescent="0.25">
      <c r="A86" s="19" t="s">
        <v>2241</v>
      </c>
      <c r="B86" s="17" t="s">
        <v>2240</v>
      </c>
      <c r="C86" s="20">
        <v>2</v>
      </c>
      <c r="D86" s="18">
        <v>49.5</v>
      </c>
      <c r="E86" s="18">
        <v>138</v>
      </c>
      <c r="F86" s="20" t="s">
        <v>2239</v>
      </c>
      <c r="G86" s="17"/>
      <c r="H86" s="19" t="s">
        <v>57</v>
      </c>
      <c r="I86" s="18">
        <v>33</v>
      </c>
      <c r="J86" s="17" t="s">
        <v>133</v>
      </c>
      <c r="K86" s="17" t="s">
        <v>132</v>
      </c>
      <c r="L86" s="17" t="s">
        <v>637</v>
      </c>
      <c r="M86" s="17" t="s">
        <v>2238</v>
      </c>
      <c r="N86" s="16" t="str">
        <f>HYPERLINK("http://images.bloomingdales.com/is/image/BLM/11402583 ")</f>
        <v xml:space="preserve">http://images.bloomingdales.com/is/image/BLM/11402583 </v>
      </c>
      <c r="O86" s="30"/>
    </row>
    <row r="87" spans="1:15" ht="72" x14ac:dyDescent="0.25">
      <c r="A87" s="19" t="s">
        <v>2237</v>
      </c>
      <c r="B87" s="17" t="s">
        <v>2236</v>
      </c>
      <c r="C87" s="20">
        <v>1</v>
      </c>
      <c r="D87" s="18">
        <v>49.34</v>
      </c>
      <c r="E87" s="18">
        <v>149.5</v>
      </c>
      <c r="F87" s="20" t="s">
        <v>2235</v>
      </c>
      <c r="G87" s="17" t="s">
        <v>390</v>
      </c>
      <c r="H87" s="19" t="s">
        <v>857</v>
      </c>
      <c r="I87" s="18">
        <v>32.893333333333338</v>
      </c>
      <c r="J87" s="17" t="s">
        <v>654</v>
      </c>
      <c r="K87" s="17" t="s">
        <v>653</v>
      </c>
      <c r="L87" s="17" t="s">
        <v>2234</v>
      </c>
      <c r="M87" s="17" t="s">
        <v>2233</v>
      </c>
      <c r="N87" s="16" t="str">
        <f>HYPERLINK("http://images.bloomingdales.com/is/image/BLM/11393091 ")</f>
        <v xml:space="preserve">http://images.bloomingdales.com/is/image/BLM/11393091 </v>
      </c>
      <c r="O87" s="30"/>
    </row>
    <row r="88" spans="1:15" ht="48" x14ac:dyDescent="0.25">
      <c r="A88" s="19" t="s">
        <v>2232</v>
      </c>
      <c r="B88" s="17" t="s">
        <v>2231</v>
      </c>
      <c r="C88" s="20">
        <v>2</v>
      </c>
      <c r="D88" s="18">
        <v>48.3</v>
      </c>
      <c r="E88" s="18">
        <v>138</v>
      </c>
      <c r="F88" s="20" t="s">
        <v>1469</v>
      </c>
      <c r="G88" s="17" t="s">
        <v>51</v>
      </c>
      <c r="H88" s="19" t="s">
        <v>74</v>
      </c>
      <c r="I88" s="18">
        <v>32.200000000000003</v>
      </c>
      <c r="J88" s="17" t="s">
        <v>133</v>
      </c>
      <c r="K88" s="17" t="s">
        <v>132</v>
      </c>
      <c r="L88" s="17"/>
      <c r="M88" s="17"/>
      <c r="N88" s="16" t="str">
        <f t="shared" ref="N88:N96" si="2">HYPERLINK("http://slimages.macys.com/is/image/MCY/19697533 ")</f>
        <v xml:space="preserve">http://slimages.macys.com/is/image/MCY/19697533 </v>
      </c>
      <c r="O88" s="30"/>
    </row>
    <row r="89" spans="1:15" ht="48" x14ac:dyDescent="0.25">
      <c r="A89" s="19" t="s">
        <v>2230</v>
      </c>
      <c r="B89" s="17" t="s">
        <v>2229</v>
      </c>
      <c r="C89" s="20">
        <v>1</v>
      </c>
      <c r="D89" s="18">
        <v>48.3</v>
      </c>
      <c r="E89" s="18">
        <v>138</v>
      </c>
      <c r="F89" s="20" t="s">
        <v>1469</v>
      </c>
      <c r="G89" s="17" t="s">
        <v>51</v>
      </c>
      <c r="H89" s="19" t="s">
        <v>57</v>
      </c>
      <c r="I89" s="18">
        <v>32.200000000000003</v>
      </c>
      <c r="J89" s="17" t="s">
        <v>133</v>
      </c>
      <c r="K89" s="17" t="s">
        <v>132</v>
      </c>
      <c r="L89" s="17"/>
      <c r="M89" s="17"/>
      <c r="N89" s="16" t="str">
        <f t="shared" si="2"/>
        <v xml:space="preserve">http://slimages.macys.com/is/image/MCY/19697533 </v>
      </c>
      <c r="O89" s="30"/>
    </row>
    <row r="90" spans="1:15" ht="48" x14ac:dyDescent="0.25">
      <c r="A90" s="19" t="s">
        <v>1473</v>
      </c>
      <c r="B90" s="17" t="s">
        <v>1472</v>
      </c>
      <c r="C90" s="20">
        <v>1</v>
      </c>
      <c r="D90" s="18">
        <v>48.3</v>
      </c>
      <c r="E90" s="18">
        <v>138</v>
      </c>
      <c r="F90" s="20" t="s">
        <v>1469</v>
      </c>
      <c r="G90" s="17" t="s">
        <v>51</v>
      </c>
      <c r="H90" s="19" t="s">
        <v>69</v>
      </c>
      <c r="I90" s="18">
        <v>32.200000000000003</v>
      </c>
      <c r="J90" s="17" t="s">
        <v>133</v>
      </c>
      <c r="K90" s="17" t="s">
        <v>132</v>
      </c>
      <c r="L90" s="17"/>
      <c r="M90" s="17"/>
      <c r="N90" s="16" t="str">
        <f t="shared" si="2"/>
        <v xml:space="preserve">http://slimages.macys.com/is/image/MCY/19697533 </v>
      </c>
      <c r="O90" s="30"/>
    </row>
    <row r="91" spans="1:15" ht="48" x14ac:dyDescent="0.25">
      <c r="A91" s="19" t="s">
        <v>2228</v>
      </c>
      <c r="B91" s="17" t="s">
        <v>2227</v>
      </c>
      <c r="C91" s="20">
        <v>2</v>
      </c>
      <c r="D91" s="18">
        <v>48.3</v>
      </c>
      <c r="E91" s="18">
        <v>138</v>
      </c>
      <c r="F91" s="20" t="s">
        <v>1469</v>
      </c>
      <c r="G91" s="17" t="s">
        <v>75</v>
      </c>
      <c r="H91" s="19" t="s">
        <v>57</v>
      </c>
      <c r="I91" s="18">
        <v>32.200000000000003</v>
      </c>
      <c r="J91" s="17" t="s">
        <v>133</v>
      </c>
      <c r="K91" s="17" t="s">
        <v>132</v>
      </c>
      <c r="L91" s="17"/>
      <c r="M91" s="17"/>
      <c r="N91" s="16" t="str">
        <f t="shared" si="2"/>
        <v xml:space="preserve">http://slimages.macys.com/is/image/MCY/19697533 </v>
      </c>
      <c r="O91" s="30"/>
    </row>
    <row r="92" spans="1:15" ht="48" x14ac:dyDescent="0.25">
      <c r="A92" s="19" t="s">
        <v>2226</v>
      </c>
      <c r="B92" s="17" t="s">
        <v>2225</v>
      </c>
      <c r="C92" s="20">
        <v>1</v>
      </c>
      <c r="D92" s="18">
        <v>48.3</v>
      </c>
      <c r="E92" s="18">
        <v>138</v>
      </c>
      <c r="F92" s="20" t="s">
        <v>1469</v>
      </c>
      <c r="G92" s="17" t="s">
        <v>51</v>
      </c>
      <c r="H92" s="19" t="s">
        <v>62</v>
      </c>
      <c r="I92" s="18">
        <v>32.200000000000003</v>
      </c>
      <c r="J92" s="17" t="s">
        <v>133</v>
      </c>
      <c r="K92" s="17" t="s">
        <v>132</v>
      </c>
      <c r="L92" s="17"/>
      <c r="M92" s="17"/>
      <c r="N92" s="16" t="str">
        <f t="shared" si="2"/>
        <v xml:space="preserve">http://slimages.macys.com/is/image/MCY/19697533 </v>
      </c>
      <c r="O92" s="30"/>
    </row>
    <row r="93" spans="1:15" ht="48" x14ac:dyDescent="0.25">
      <c r="A93" s="19" t="s">
        <v>2224</v>
      </c>
      <c r="B93" s="17" t="s">
        <v>2223</v>
      </c>
      <c r="C93" s="20">
        <v>2</v>
      </c>
      <c r="D93" s="18">
        <v>48.3</v>
      </c>
      <c r="E93" s="18">
        <v>138</v>
      </c>
      <c r="F93" s="20" t="s">
        <v>1469</v>
      </c>
      <c r="G93" s="17" t="s">
        <v>75</v>
      </c>
      <c r="H93" s="19" t="s">
        <v>197</v>
      </c>
      <c r="I93" s="18">
        <v>32.200000000000003</v>
      </c>
      <c r="J93" s="17" t="s">
        <v>133</v>
      </c>
      <c r="K93" s="17" t="s">
        <v>132</v>
      </c>
      <c r="L93" s="17"/>
      <c r="M93" s="17"/>
      <c r="N93" s="16" t="str">
        <f t="shared" si="2"/>
        <v xml:space="preserve">http://slimages.macys.com/is/image/MCY/19697533 </v>
      </c>
      <c r="O93" s="30"/>
    </row>
    <row r="94" spans="1:15" ht="48" x14ac:dyDescent="0.25">
      <c r="A94" s="19" t="s">
        <v>2222</v>
      </c>
      <c r="B94" s="17" t="s">
        <v>2221</v>
      </c>
      <c r="C94" s="20">
        <v>3</v>
      </c>
      <c r="D94" s="18">
        <v>48.3</v>
      </c>
      <c r="E94" s="18">
        <v>138</v>
      </c>
      <c r="F94" s="20" t="s">
        <v>1469</v>
      </c>
      <c r="G94" s="17" t="s">
        <v>75</v>
      </c>
      <c r="H94" s="19" t="s">
        <v>62</v>
      </c>
      <c r="I94" s="18">
        <v>32.200000000000003</v>
      </c>
      <c r="J94" s="17" t="s">
        <v>133</v>
      </c>
      <c r="K94" s="17" t="s">
        <v>132</v>
      </c>
      <c r="L94" s="17"/>
      <c r="M94" s="17"/>
      <c r="N94" s="16" t="str">
        <f t="shared" si="2"/>
        <v xml:space="preserve">http://slimages.macys.com/is/image/MCY/19697533 </v>
      </c>
      <c r="O94" s="30"/>
    </row>
    <row r="95" spans="1:15" ht="48" x14ac:dyDescent="0.25">
      <c r="A95" s="19" t="s">
        <v>1471</v>
      </c>
      <c r="B95" s="17" t="s">
        <v>1470</v>
      </c>
      <c r="C95" s="20">
        <v>2</v>
      </c>
      <c r="D95" s="18">
        <v>48.3</v>
      </c>
      <c r="E95" s="18">
        <v>138</v>
      </c>
      <c r="F95" s="20" t="s">
        <v>1469</v>
      </c>
      <c r="G95" s="17" t="s">
        <v>75</v>
      </c>
      <c r="H95" s="19" t="s">
        <v>69</v>
      </c>
      <c r="I95" s="18">
        <v>32.200000000000003</v>
      </c>
      <c r="J95" s="17" t="s">
        <v>133</v>
      </c>
      <c r="K95" s="17" t="s">
        <v>132</v>
      </c>
      <c r="L95" s="17"/>
      <c r="M95" s="17"/>
      <c r="N95" s="16" t="str">
        <f t="shared" si="2"/>
        <v xml:space="preserve">http://slimages.macys.com/is/image/MCY/19697533 </v>
      </c>
      <c r="O95" s="30"/>
    </row>
    <row r="96" spans="1:15" ht="48" x14ac:dyDescent="0.25">
      <c r="A96" s="19" t="s">
        <v>2220</v>
      </c>
      <c r="B96" s="17" t="s">
        <v>2219</v>
      </c>
      <c r="C96" s="20">
        <v>2</v>
      </c>
      <c r="D96" s="18">
        <v>48.3</v>
      </c>
      <c r="E96" s="18">
        <v>138</v>
      </c>
      <c r="F96" s="20" t="s">
        <v>1469</v>
      </c>
      <c r="G96" s="17" t="s">
        <v>75</v>
      </c>
      <c r="H96" s="19" t="s">
        <v>74</v>
      </c>
      <c r="I96" s="18">
        <v>32.200000000000003</v>
      </c>
      <c r="J96" s="17" t="s">
        <v>133</v>
      </c>
      <c r="K96" s="17" t="s">
        <v>132</v>
      </c>
      <c r="L96" s="17"/>
      <c r="M96" s="17"/>
      <c r="N96" s="16" t="str">
        <f t="shared" si="2"/>
        <v xml:space="preserve">http://slimages.macys.com/is/image/MCY/19697533 </v>
      </c>
      <c r="O96" s="30"/>
    </row>
    <row r="97" spans="1:15" ht="48" x14ac:dyDescent="0.25">
      <c r="A97" s="19" t="s">
        <v>2218</v>
      </c>
      <c r="B97" s="17" t="s">
        <v>2217</v>
      </c>
      <c r="C97" s="20">
        <v>1</v>
      </c>
      <c r="D97" s="18">
        <v>48</v>
      </c>
      <c r="E97" s="18">
        <v>109.99</v>
      </c>
      <c r="F97" s="20">
        <v>50039785</v>
      </c>
      <c r="G97" s="17" t="s">
        <v>51</v>
      </c>
      <c r="H97" s="19" t="s">
        <v>880</v>
      </c>
      <c r="I97" s="18">
        <v>32</v>
      </c>
      <c r="J97" s="17" t="s">
        <v>879</v>
      </c>
      <c r="K97" s="17" t="s">
        <v>850</v>
      </c>
      <c r="L97" s="17"/>
      <c r="M97" s="17"/>
      <c r="N97" s="16" t="str">
        <f>HYPERLINK("http://slimages.macys.com/is/image/MCY/18627202 ")</f>
        <v xml:space="preserve">http://slimages.macys.com/is/image/MCY/18627202 </v>
      </c>
      <c r="O97" s="30"/>
    </row>
    <row r="98" spans="1:15" ht="48" x14ac:dyDescent="0.25">
      <c r="A98" s="19" t="s">
        <v>1463</v>
      </c>
      <c r="B98" s="17" t="s">
        <v>1462</v>
      </c>
      <c r="C98" s="20">
        <v>1</v>
      </c>
      <c r="D98" s="18">
        <v>46</v>
      </c>
      <c r="E98" s="18">
        <v>149</v>
      </c>
      <c r="F98" s="20" t="s">
        <v>1461</v>
      </c>
      <c r="G98" s="17" t="s">
        <v>23</v>
      </c>
      <c r="H98" s="19" t="s">
        <v>773</v>
      </c>
      <c r="I98" s="18">
        <v>30.666666666666664</v>
      </c>
      <c r="J98" s="17" t="s">
        <v>550</v>
      </c>
      <c r="K98" s="17" t="s">
        <v>1310</v>
      </c>
      <c r="L98" s="17"/>
      <c r="M98" s="17"/>
      <c r="N98" s="16" t="str">
        <f>HYPERLINK("http://slimages.macys.com/is/image/MCY/18210303 ")</f>
        <v xml:space="preserve">http://slimages.macys.com/is/image/MCY/18210303 </v>
      </c>
      <c r="O98" s="30"/>
    </row>
    <row r="99" spans="1:15" ht="48" x14ac:dyDescent="0.25">
      <c r="A99" s="19" t="s">
        <v>2216</v>
      </c>
      <c r="B99" s="17" t="s">
        <v>2215</v>
      </c>
      <c r="C99" s="20">
        <v>4</v>
      </c>
      <c r="D99" s="18">
        <v>45.9</v>
      </c>
      <c r="E99" s="18">
        <v>128</v>
      </c>
      <c r="F99" s="20" t="s">
        <v>2212</v>
      </c>
      <c r="G99" s="17"/>
      <c r="H99" s="19" t="s">
        <v>74</v>
      </c>
      <c r="I99" s="18">
        <v>30.6</v>
      </c>
      <c r="J99" s="17" t="s">
        <v>133</v>
      </c>
      <c r="K99" s="17" t="s">
        <v>132</v>
      </c>
      <c r="L99" s="17"/>
      <c r="M99" s="17"/>
      <c r="N99" s="16" t="str">
        <f>HYPERLINK("http://slimages.macys.com/is/image/MCY/18992113 ")</f>
        <v xml:space="preserve">http://slimages.macys.com/is/image/MCY/18992113 </v>
      </c>
      <c r="O99" s="30"/>
    </row>
    <row r="100" spans="1:15" ht="48" x14ac:dyDescent="0.25">
      <c r="A100" s="19" t="s">
        <v>2214</v>
      </c>
      <c r="B100" s="17" t="s">
        <v>2213</v>
      </c>
      <c r="C100" s="20">
        <v>3</v>
      </c>
      <c r="D100" s="18">
        <v>45.9</v>
      </c>
      <c r="E100" s="18">
        <v>128</v>
      </c>
      <c r="F100" s="20" t="s">
        <v>2212</v>
      </c>
      <c r="G100" s="17"/>
      <c r="H100" s="19" t="s">
        <v>57</v>
      </c>
      <c r="I100" s="18">
        <v>30.6</v>
      </c>
      <c r="J100" s="17" t="s">
        <v>133</v>
      </c>
      <c r="K100" s="17" t="s">
        <v>132</v>
      </c>
      <c r="L100" s="17"/>
      <c r="M100" s="17"/>
      <c r="N100" s="16" t="str">
        <f>HYPERLINK("http://slimages.macys.com/is/image/MCY/18992113 ")</f>
        <v xml:space="preserve">http://slimages.macys.com/is/image/MCY/18992113 </v>
      </c>
      <c r="O100" s="30"/>
    </row>
    <row r="101" spans="1:15" ht="72" x14ac:dyDescent="0.25">
      <c r="A101" s="19" t="s">
        <v>2211</v>
      </c>
      <c r="B101" s="17" t="s">
        <v>2210</v>
      </c>
      <c r="C101" s="20">
        <v>1</v>
      </c>
      <c r="D101" s="18">
        <v>45.68</v>
      </c>
      <c r="E101" s="18">
        <v>118</v>
      </c>
      <c r="F101" s="20" t="s">
        <v>2209</v>
      </c>
      <c r="G101" s="17" t="s">
        <v>23</v>
      </c>
      <c r="H101" s="19" t="s">
        <v>62</v>
      </c>
      <c r="I101" s="18">
        <v>30.453333333333333</v>
      </c>
      <c r="J101" s="17" t="s">
        <v>133</v>
      </c>
      <c r="K101" s="17" t="s">
        <v>584</v>
      </c>
      <c r="L101" s="17" t="s">
        <v>637</v>
      </c>
      <c r="M101" s="17" t="s">
        <v>2208</v>
      </c>
      <c r="N101" s="16" t="str">
        <f>HYPERLINK("http://images.bloomingdales.com/is/image/BLM/10094589 ")</f>
        <v xml:space="preserve">http://images.bloomingdales.com/is/image/BLM/10094589 </v>
      </c>
      <c r="O101" s="30"/>
    </row>
    <row r="102" spans="1:15" ht="48" x14ac:dyDescent="0.25">
      <c r="A102" s="19" t="s">
        <v>2207</v>
      </c>
      <c r="B102" s="17" t="s">
        <v>2206</v>
      </c>
      <c r="C102" s="20">
        <v>1</v>
      </c>
      <c r="D102" s="18">
        <v>43.01</v>
      </c>
      <c r="E102" s="18">
        <v>128</v>
      </c>
      <c r="F102" s="20" t="s">
        <v>2205</v>
      </c>
      <c r="G102" s="17" t="s">
        <v>140</v>
      </c>
      <c r="H102" s="19" t="s">
        <v>101</v>
      </c>
      <c r="I102" s="18">
        <v>28.673333333333336</v>
      </c>
      <c r="J102" s="17" t="s">
        <v>49</v>
      </c>
      <c r="K102" s="17" t="s">
        <v>48</v>
      </c>
      <c r="L102" s="17"/>
      <c r="M102" s="17"/>
      <c r="N102" s="16" t="str">
        <f>HYPERLINK("http://slimages.macys.com/is/image/MCY/19738222 ")</f>
        <v xml:space="preserve">http://slimages.macys.com/is/image/MCY/19738222 </v>
      </c>
      <c r="O102" s="30"/>
    </row>
    <row r="103" spans="1:15" ht="84" x14ac:dyDescent="0.25">
      <c r="A103" s="19" t="s">
        <v>1444</v>
      </c>
      <c r="B103" s="17" t="s">
        <v>1443</v>
      </c>
      <c r="C103" s="20">
        <v>7</v>
      </c>
      <c r="D103" s="18">
        <v>42.8</v>
      </c>
      <c r="E103" s="18">
        <v>119</v>
      </c>
      <c r="F103" s="20" t="s">
        <v>1442</v>
      </c>
      <c r="G103" s="17" t="s">
        <v>91</v>
      </c>
      <c r="H103" s="19" t="s">
        <v>749</v>
      </c>
      <c r="I103" s="18">
        <v>28.533333333333335</v>
      </c>
      <c r="J103" s="17" t="s">
        <v>678</v>
      </c>
      <c r="K103" s="17" t="s">
        <v>404</v>
      </c>
      <c r="L103" s="17" t="s">
        <v>389</v>
      </c>
      <c r="M103" s="17" t="s">
        <v>1441</v>
      </c>
      <c r="N103" s="16" t="str">
        <f>HYPERLINK("http://slimages.macys.com/is/image/MCY/9583053 ")</f>
        <v xml:space="preserve">http://slimages.macys.com/is/image/MCY/9583053 </v>
      </c>
      <c r="O103" s="30"/>
    </row>
    <row r="104" spans="1:15" ht="48" x14ac:dyDescent="0.25">
      <c r="A104" s="19" t="s">
        <v>2204</v>
      </c>
      <c r="B104" s="17" t="s">
        <v>2203</v>
      </c>
      <c r="C104" s="20">
        <v>2</v>
      </c>
      <c r="D104" s="18">
        <v>42.3</v>
      </c>
      <c r="E104" s="18">
        <v>118</v>
      </c>
      <c r="F104" s="20" t="s">
        <v>2196</v>
      </c>
      <c r="G104" s="17" t="s">
        <v>75</v>
      </c>
      <c r="H104" s="19" t="s">
        <v>57</v>
      </c>
      <c r="I104" s="18">
        <v>28.200000000000003</v>
      </c>
      <c r="J104" s="17" t="s">
        <v>133</v>
      </c>
      <c r="K104" s="17" t="s">
        <v>132</v>
      </c>
      <c r="L104" s="17"/>
      <c r="M104" s="17"/>
      <c r="N104" s="16" t="str">
        <f>HYPERLINK("http://slimages.macys.com/is/image/MCY/19457823 ")</f>
        <v xml:space="preserve">http://slimages.macys.com/is/image/MCY/19457823 </v>
      </c>
      <c r="O104" s="30"/>
    </row>
    <row r="105" spans="1:15" ht="48" x14ac:dyDescent="0.25">
      <c r="A105" s="19" t="s">
        <v>2202</v>
      </c>
      <c r="B105" s="17" t="s">
        <v>2201</v>
      </c>
      <c r="C105" s="20">
        <v>2</v>
      </c>
      <c r="D105" s="18">
        <v>42.3</v>
      </c>
      <c r="E105" s="18">
        <v>118</v>
      </c>
      <c r="F105" s="20" t="s">
        <v>2196</v>
      </c>
      <c r="G105" s="17" t="s">
        <v>75</v>
      </c>
      <c r="H105" s="19" t="s">
        <v>74</v>
      </c>
      <c r="I105" s="18">
        <v>28.200000000000003</v>
      </c>
      <c r="J105" s="17" t="s">
        <v>133</v>
      </c>
      <c r="K105" s="17" t="s">
        <v>132</v>
      </c>
      <c r="L105" s="17"/>
      <c r="M105" s="17"/>
      <c r="N105" s="16" t="str">
        <f>HYPERLINK("http://slimages.macys.com/is/image/MCY/19457823 ")</f>
        <v xml:space="preserve">http://slimages.macys.com/is/image/MCY/19457823 </v>
      </c>
      <c r="O105" s="30"/>
    </row>
    <row r="106" spans="1:15" ht="48" x14ac:dyDescent="0.25">
      <c r="A106" s="19" t="s">
        <v>2200</v>
      </c>
      <c r="B106" s="17" t="s">
        <v>2199</v>
      </c>
      <c r="C106" s="20">
        <v>2</v>
      </c>
      <c r="D106" s="18">
        <v>42.3</v>
      </c>
      <c r="E106" s="18">
        <v>118</v>
      </c>
      <c r="F106" s="20" t="s">
        <v>2196</v>
      </c>
      <c r="G106" s="17" t="s">
        <v>75</v>
      </c>
      <c r="H106" s="19" t="s">
        <v>69</v>
      </c>
      <c r="I106" s="18">
        <v>28.200000000000003</v>
      </c>
      <c r="J106" s="17" t="s">
        <v>133</v>
      </c>
      <c r="K106" s="17" t="s">
        <v>132</v>
      </c>
      <c r="L106" s="17"/>
      <c r="M106" s="17"/>
      <c r="N106" s="16" t="str">
        <f>HYPERLINK("http://slimages.macys.com/is/image/MCY/19457823 ")</f>
        <v xml:space="preserve">http://slimages.macys.com/is/image/MCY/19457823 </v>
      </c>
      <c r="O106" s="30"/>
    </row>
    <row r="107" spans="1:15" ht="48" x14ac:dyDescent="0.25">
      <c r="A107" s="19" t="s">
        <v>2198</v>
      </c>
      <c r="B107" s="17" t="s">
        <v>2197</v>
      </c>
      <c r="C107" s="20">
        <v>2</v>
      </c>
      <c r="D107" s="18">
        <v>42.3</v>
      </c>
      <c r="E107" s="18">
        <v>118</v>
      </c>
      <c r="F107" s="20" t="s">
        <v>2196</v>
      </c>
      <c r="G107" s="17" t="s">
        <v>75</v>
      </c>
      <c r="H107" s="19" t="s">
        <v>62</v>
      </c>
      <c r="I107" s="18">
        <v>28.200000000000003</v>
      </c>
      <c r="J107" s="17" t="s">
        <v>133</v>
      </c>
      <c r="K107" s="17" t="s">
        <v>132</v>
      </c>
      <c r="L107" s="17"/>
      <c r="M107" s="17"/>
      <c r="N107" s="16" t="str">
        <f>HYPERLINK("http://slimages.macys.com/is/image/MCY/19457823 ")</f>
        <v xml:space="preserve">http://slimages.macys.com/is/image/MCY/19457823 </v>
      </c>
      <c r="O107" s="30"/>
    </row>
    <row r="108" spans="1:15" ht="48" x14ac:dyDescent="0.25">
      <c r="A108" s="19" t="s">
        <v>2195</v>
      </c>
      <c r="B108" s="17" t="s">
        <v>2194</v>
      </c>
      <c r="C108" s="20">
        <v>1</v>
      </c>
      <c r="D108" s="18">
        <v>42</v>
      </c>
      <c r="E108" s="18">
        <v>92</v>
      </c>
      <c r="F108" s="20" t="s">
        <v>1438</v>
      </c>
      <c r="G108" s="17" t="s">
        <v>91</v>
      </c>
      <c r="H108" s="19" t="s">
        <v>62</v>
      </c>
      <c r="I108" s="18">
        <v>28.000000000000004</v>
      </c>
      <c r="J108" s="17" t="s">
        <v>133</v>
      </c>
      <c r="K108" s="17" t="s">
        <v>1437</v>
      </c>
      <c r="L108" s="17"/>
      <c r="M108" s="17"/>
      <c r="N108" s="16" t="str">
        <f>HYPERLINK("http://slimages.macys.com/is/image/MCY/19563682 ")</f>
        <v xml:space="preserve">http://slimages.macys.com/is/image/MCY/19563682 </v>
      </c>
      <c r="O108" s="30"/>
    </row>
    <row r="109" spans="1:15" ht="48" x14ac:dyDescent="0.25">
      <c r="A109" s="19" t="s">
        <v>760</v>
      </c>
      <c r="B109" s="17" t="s">
        <v>759</v>
      </c>
      <c r="C109" s="20">
        <v>3</v>
      </c>
      <c r="D109" s="18">
        <v>41.76</v>
      </c>
      <c r="E109" s="18">
        <v>98</v>
      </c>
      <c r="F109" s="20" t="s">
        <v>758</v>
      </c>
      <c r="G109" s="17" t="s">
        <v>23</v>
      </c>
      <c r="H109" s="19" t="s">
        <v>757</v>
      </c>
      <c r="I109" s="18">
        <v>27.840000000000003</v>
      </c>
      <c r="J109" s="17" t="s">
        <v>756</v>
      </c>
      <c r="K109" s="17" t="s">
        <v>153</v>
      </c>
      <c r="L109" s="17"/>
      <c r="M109" s="17"/>
      <c r="N109" s="16" t="str">
        <f>HYPERLINK("http://slimages.macys.com/is/image/MCY/20231237 ")</f>
        <v xml:space="preserve">http://slimages.macys.com/is/image/MCY/20231237 </v>
      </c>
      <c r="O109" s="30"/>
    </row>
    <row r="110" spans="1:15" ht="48" x14ac:dyDescent="0.25">
      <c r="A110" s="19" t="s">
        <v>2193</v>
      </c>
      <c r="B110" s="17" t="s">
        <v>2192</v>
      </c>
      <c r="C110" s="20">
        <v>2</v>
      </c>
      <c r="D110" s="18">
        <v>41.72</v>
      </c>
      <c r="E110" s="18">
        <v>149</v>
      </c>
      <c r="F110" s="20" t="s">
        <v>2187</v>
      </c>
      <c r="G110" s="17" t="s">
        <v>58</v>
      </c>
      <c r="H110" s="19" t="s">
        <v>116</v>
      </c>
      <c r="I110" s="18">
        <v>27.813333333333333</v>
      </c>
      <c r="J110" s="17" t="s">
        <v>820</v>
      </c>
      <c r="K110" s="17" t="s">
        <v>67</v>
      </c>
      <c r="L110" s="17"/>
      <c r="M110" s="17"/>
      <c r="N110" s="16" t="str">
        <f>HYPERLINK("http://slimages.macys.com/is/image/MCY/19909553 ")</f>
        <v xml:space="preserve">http://slimages.macys.com/is/image/MCY/19909553 </v>
      </c>
      <c r="O110" s="30"/>
    </row>
    <row r="111" spans="1:15" ht="48" x14ac:dyDescent="0.25">
      <c r="A111" s="19" t="s">
        <v>2191</v>
      </c>
      <c r="B111" s="17" t="s">
        <v>2190</v>
      </c>
      <c r="C111" s="20">
        <v>1</v>
      </c>
      <c r="D111" s="18">
        <v>41.72</v>
      </c>
      <c r="E111" s="18">
        <v>149</v>
      </c>
      <c r="F111" s="20" t="s">
        <v>2187</v>
      </c>
      <c r="G111" s="17" t="s">
        <v>58</v>
      </c>
      <c r="H111" s="19" t="s">
        <v>698</v>
      </c>
      <c r="I111" s="18">
        <v>27.813333333333333</v>
      </c>
      <c r="J111" s="17" t="s">
        <v>820</v>
      </c>
      <c r="K111" s="17" t="s">
        <v>67</v>
      </c>
      <c r="L111" s="17"/>
      <c r="M111" s="17"/>
      <c r="N111" s="16" t="str">
        <f>HYPERLINK("http://slimages.macys.com/is/image/MCY/19909553 ")</f>
        <v xml:space="preserve">http://slimages.macys.com/is/image/MCY/19909553 </v>
      </c>
      <c r="O111" s="30"/>
    </row>
    <row r="112" spans="1:15" ht="48" x14ac:dyDescent="0.25">
      <c r="A112" s="19" t="s">
        <v>2189</v>
      </c>
      <c r="B112" s="17" t="s">
        <v>2188</v>
      </c>
      <c r="C112" s="20">
        <v>1</v>
      </c>
      <c r="D112" s="18">
        <v>41.72</v>
      </c>
      <c r="E112" s="18">
        <v>149</v>
      </c>
      <c r="F112" s="20" t="s">
        <v>2187</v>
      </c>
      <c r="G112" s="17" t="s">
        <v>58</v>
      </c>
      <c r="H112" s="19" t="s">
        <v>749</v>
      </c>
      <c r="I112" s="18">
        <v>27.813333333333333</v>
      </c>
      <c r="J112" s="17" t="s">
        <v>820</v>
      </c>
      <c r="K112" s="17" t="s">
        <v>67</v>
      </c>
      <c r="L112" s="17"/>
      <c r="M112" s="17"/>
      <c r="N112" s="16" t="str">
        <f>HYPERLINK("http://slimages.macys.com/is/image/MCY/19909553 ")</f>
        <v xml:space="preserve">http://slimages.macys.com/is/image/MCY/19909553 </v>
      </c>
      <c r="O112" s="30"/>
    </row>
    <row r="113" spans="1:15" ht="48" x14ac:dyDescent="0.25">
      <c r="A113" s="19" t="s">
        <v>2186</v>
      </c>
      <c r="B113" s="17" t="s">
        <v>2185</v>
      </c>
      <c r="C113" s="20">
        <v>2</v>
      </c>
      <c r="D113" s="18">
        <v>41.4</v>
      </c>
      <c r="E113" s="18">
        <v>138</v>
      </c>
      <c r="F113" s="20" t="s">
        <v>2184</v>
      </c>
      <c r="G113" s="17" t="s">
        <v>28</v>
      </c>
      <c r="H113" s="19" t="s">
        <v>857</v>
      </c>
      <c r="I113" s="18">
        <v>27.599999999999998</v>
      </c>
      <c r="J113" s="17" t="s">
        <v>115</v>
      </c>
      <c r="K113" s="17" t="s">
        <v>748</v>
      </c>
      <c r="L113" s="17"/>
      <c r="M113" s="17"/>
      <c r="N113" s="16" t="str">
        <f>HYPERLINK("http://slimages.macys.com/is/image/MCY/19070598 ")</f>
        <v xml:space="preserve">http://slimages.macys.com/is/image/MCY/19070598 </v>
      </c>
      <c r="O113" s="30"/>
    </row>
    <row r="114" spans="1:15" ht="48" x14ac:dyDescent="0.25">
      <c r="A114" s="19" t="s">
        <v>2183</v>
      </c>
      <c r="B114" s="17" t="s">
        <v>2182</v>
      </c>
      <c r="C114" s="20">
        <v>1</v>
      </c>
      <c r="D114" s="18">
        <v>40.64</v>
      </c>
      <c r="E114" s="18">
        <v>96.75</v>
      </c>
      <c r="F114" s="20">
        <v>10769526</v>
      </c>
      <c r="G114" s="17" t="s">
        <v>28</v>
      </c>
      <c r="H114" s="19" t="s">
        <v>139</v>
      </c>
      <c r="I114" s="18">
        <v>27.093333333333334</v>
      </c>
      <c r="J114" s="17" t="s">
        <v>358</v>
      </c>
      <c r="K114" s="17" t="s">
        <v>143</v>
      </c>
      <c r="L114" s="17"/>
      <c r="M114" s="17"/>
      <c r="N114" s="16" t="str">
        <f>HYPERLINK("http://slimages.macys.com/is/image/MCY/19096214 ")</f>
        <v xml:space="preserve">http://slimages.macys.com/is/image/MCY/19096214 </v>
      </c>
      <c r="O114" s="30"/>
    </row>
    <row r="115" spans="1:15" ht="48" x14ac:dyDescent="0.25">
      <c r="A115" s="19" t="s">
        <v>2181</v>
      </c>
      <c r="B115" s="17" t="s">
        <v>2180</v>
      </c>
      <c r="C115" s="20">
        <v>1</v>
      </c>
      <c r="D115" s="18">
        <v>40</v>
      </c>
      <c r="E115" s="18">
        <v>89.99</v>
      </c>
      <c r="F115" s="20">
        <v>50037551</v>
      </c>
      <c r="G115" s="17" t="s">
        <v>508</v>
      </c>
      <c r="H115" s="19" t="s">
        <v>96</v>
      </c>
      <c r="I115" s="18">
        <v>26.666666666666668</v>
      </c>
      <c r="J115" s="17" t="s">
        <v>854</v>
      </c>
      <c r="K115" s="17" t="s">
        <v>850</v>
      </c>
      <c r="L115" s="17"/>
      <c r="M115" s="17"/>
      <c r="N115" s="16" t="str">
        <f>HYPERLINK("http://slimages.macys.com/is/image/MCY/10252890 ")</f>
        <v xml:space="preserve">http://slimages.macys.com/is/image/MCY/10252890 </v>
      </c>
      <c r="O115" s="30"/>
    </row>
    <row r="116" spans="1:15" ht="48" x14ac:dyDescent="0.25">
      <c r="A116" s="19" t="s">
        <v>1427</v>
      </c>
      <c r="B116" s="17" t="s">
        <v>1426</v>
      </c>
      <c r="C116" s="20">
        <v>1</v>
      </c>
      <c r="D116" s="18">
        <v>40</v>
      </c>
      <c r="E116" s="18">
        <v>89.99</v>
      </c>
      <c r="F116" s="20">
        <v>50039755</v>
      </c>
      <c r="G116" s="17" t="s">
        <v>63</v>
      </c>
      <c r="H116" s="19" t="s">
        <v>96</v>
      </c>
      <c r="I116" s="18">
        <v>26.666666666666668</v>
      </c>
      <c r="J116" s="17" t="s">
        <v>854</v>
      </c>
      <c r="K116" s="17" t="s">
        <v>850</v>
      </c>
      <c r="L116" s="17"/>
      <c r="M116" s="17"/>
      <c r="N116" s="16" t="str">
        <f>HYPERLINK("http://slimages.macys.com/is/image/MCY/18075530 ")</f>
        <v xml:space="preserve">http://slimages.macys.com/is/image/MCY/18075530 </v>
      </c>
      <c r="O116" s="30"/>
    </row>
    <row r="117" spans="1:15" ht="48" x14ac:dyDescent="0.25">
      <c r="A117" s="19" t="s">
        <v>2179</v>
      </c>
      <c r="B117" s="17" t="s">
        <v>2178</v>
      </c>
      <c r="C117" s="20">
        <v>1</v>
      </c>
      <c r="D117" s="18">
        <v>40</v>
      </c>
      <c r="E117" s="18">
        <v>89</v>
      </c>
      <c r="F117" s="20" t="s">
        <v>2177</v>
      </c>
      <c r="G117" s="17" t="s">
        <v>508</v>
      </c>
      <c r="H117" s="19" t="s">
        <v>857</v>
      </c>
      <c r="I117" s="18">
        <v>26.666666666666668</v>
      </c>
      <c r="J117" s="17" t="s">
        <v>148</v>
      </c>
      <c r="K117" s="17" t="s">
        <v>772</v>
      </c>
      <c r="L117" s="17"/>
      <c r="M117" s="17"/>
      <c r="N117" s="16" t="str">
        <f>HYPERLINK("http://slimages.macys.com/is/image/MCY/19075309 ")</f>
        <v xml:space="preserve">http://slimages.macys.com/is/image/MCY/19075309 </v>
      </c>
      <c r="O117" s="30"/>
    </row>
    <row r="118" spans="1:15" ht="48" x14ac:dyDescent="0.25">
      <c r="A118" s="19" t="s">
        <v>2176</v>
      </c>
      <c r="B118" s="17" t="s">
        <v>2175</v>
      </c>
      <c r="C118" s="20">
        <v>1</v>
      </c>
      <c r="D118" s="18">
        <v>39.99</v>
      </c>
      <c r="E118" s="18">
        <v>129</v>
      </c>
      <c r="F118" s="20">
        <v>10758240</v>
      </c>
      <c r="G118" s="17" t="s">
        <v>140</v>
      </c>
      <c r="H118" s="19" t="s">
        <v>96</v>
      </c>
      <c r="I118" s="18">
        <v>26.66</v>
      </c>
      <c r="J118" s="17" t="s">
        <v>144</v>
      </c>
      <c r="K118" s="17" t="s">
        <v>143</v>
      </c>
      <c r="L118" s="17"/>
      <c r="M118" s="17"/>
      <c r="N118" s="16" t="str">
        <f>HYPERLINK("http://slimages.macys.com/is/image/MCY/18302109 ")</f>
        <v xml:space="preserve">http://slimages.macys.com/is/image/MCY/18302109 </v>
      </c>
      <c r="O118" s="30"/>
    </row>
    <row r="119" spans="1:15" ht="48" x14ac:dyDescent="0.25">
      <c r="A119" s="19" t="s">
        <v>2174</v>
      </c>
      <c r="B119" s="17" t="s">
        <v>2173</v>
      </c>
      <c r="C119" s="20">
        <v>2</v>
      </c>
      <c r="D119" s="18">
        <v>39.96</v>
      </c>
      <c r="E119" s="18">
        <v>148</v>
      </c>
      <c r="F119" s="20" t="s">
        <v>2172</v>
      </c>
      <c r="G119" s="17" t="s">
        <v>216</v>
      </c>
      <c r="H119" s="19" t="s">
        <v>898</v>
      </c>
      <c r="I119" s="18">
        <v>26.64</v>
      </c>
      <c r="J119" s="17" t="s">
        <v>115</v>
      </c>
      <c r="K119" s="17" t="s">
        <v>742</v>
      </c>
      <c r="L119" s="17"/>
      <c r="M119" s="17"/>
      <c r="N119" s="16" t="str">
        <f>HYPERLINK("http://slimages.macys.com/is/image/MCY/16756634 ")</f>
        <v xml:space="preserve">http://slimages.macys.com/is/image/MCY/16756634 </v>
      </c>
      <c r="O119" s="30"/>
    </row>
    <row r="120" spans="1:15" ht="48" x14ac:dyDescent="0.25">
      <c r="A120" s="19" t="s">
        <v>2171</v>
      </c>
      <c r="B120" s="17" t="s">
        <v>2170</v>
      </c>
      <c r="C120" s="20">
        <v>1</v>
      </c>
      <c r="D120" s="18">
        <v>39.9</v>
      </c>
      <c r="E120" s="18">
        <v>109</v>
      </c>
      <c r="F120" s="20" t="s">
        <v>2169</v>
      </c>
      <c r="G120" s="17" t="s">
        <v>51</v>
      </c>
      <c r="H120" s="19" t="s">
        <v>698</v>
      </c>
      <c r="I120" s="18">
        <v>26.6</v>
      </c>
      <c r="J120" s="17" t="s">
        <v>1363</v>
      </c>
      <c r="K120" s="17" t="s">
        <v>1362</v>
      </c>
      <c r="L120" s="17"/>
      <c r="M120" s="17"/>
      <c r="N120" s="16" t="str">
        <f>HYPERLINK("http://slimages.macys.com/is/image/MCY/18916930 ")</f>
        <v xml:space="preserve">http://slimages.macys.com/is/image/MCY/18916930 </v>
      </c>
      <c r="O120" s="30"/>
    </row>
    <row r="121" spans="1:15" ht="60" x14ac:dyDescent="0.25">
      <c r="A121" s="19" t="s">
        <v>2168</v>
      </c>
      <c r="B121" s="17" t="s">
        <v>2167</v>
      </c>
      <c r="C121" s="20">
        <v>1</v>
      </c>
      <c r="D121" s="18">
        <v>39.9</v>
      </c>
      <c r="E121" s="18">
        <v>98</v>
      </c>
      <c r="F121" s="20" t="s">
        <v>2166</v>
      </c>
      <c r="G121" s="17" t="s">
        <v>282</v>
      </c>
      <c r="H121" s="19"/>
      <c r="I121" s="18">
        <v>26.6</v>
      </c>
      <c r="J121" s="17" t="s">
        <v>148</v>
      </c>
      <c r="K121" s="17" t="s">
        <v>2093</v>
      </c>
      <c r="L121" s="17"/>
      <c r="M121" s="17"/>
      <c r="N121" s="16" t="str">
        <f>HYPERLINK("http://slimages.macys.com/is/image/MCY/18869369 ")</f>
        <v xml:space="preserve">http://slimages.macys.com/is/image/MCY/18869369 </v>
      </c>
      <c r="O121" s="30"/>
    </row>
    <row r="122" spans="1:15" ht="60" x14ac:dyDescent="0.25">
      <c r="A122" s="19" t="s">
        <v>2165</v>
      </c>
      <c r="B122" s="17" t="s">
        <v>2164</v>
      </c>
      <c r="C122" s="20">
        <v>1</v>
      </c>
      <c r="D122" s="18">
        <v>39.76</v>
      </c>
      <c r="E122" s="18">
        <v>139.5</v>
      </c>
      <c r="F122" s="20" t="s">
        <v>2163</v>
      </c>
      <c r="G122" s="17" t="s">
        <v>514</v>
      </c>
      <c r="H122" s="19" t="s">
        <v>139</v>
      </c>
      <c r="I122" s="18">
        <v>26.506666666666668</v>
      </c>
      <c r="J122" s="17" t="s">
        <v>540</v>
      </c>
      <c r="K122" s="17" t="s">
        <v>105</v>
      </c>
      <c r="L122" s="17"/>
      <c r="M122" s="17"/>
      <c r="N122" s="16" t="str">
        <f>HYPERLINK("http://slimages.macys.com/is/image/MCY/19036466 ")</f>
        <v xml:space="preserve">http://slimages.macys.com/is/image/MCY/19036466 </v>
      </c>
      <c r="O122" s="30"/>
    </row>
    <row r="123" spans="1:15" ht="48" x14ac:dyDescent="0.25">
      <c r="A123" s="19" t="s">
        <v>2162</v>
      </c>
      <c r="B123" s="17" t="s">
        <v>2161</v>
      </c>
      <c r="C123" s="20">
        <v>1</v>
      </c>
      <c r="D123" s="18">
        <v>39.06</v>
      </c>
      <c r="E123" s="18">
        <v>118</v>
      </c>
      <c r="F123" s="20" t="s">
        <v>2160</v>
      </c>
      <c r="G123" s="17" t="s">
        <v>28</v>
      </c>
      <c r="H123" s="19" t="s">
        <v>682</v>
      </c>
      <c r="I123" s="18">
        <v>26.040000000000003</v>
      </c>
      <c r="J123" s="17" t="s">
        <v>49</v>
      </c>
      <c r="K123" s="17" t="s">
        <v>48</v>
      </c>
      <c r="L123" s="17"/>
      <c r="M123" s="17"/>
      <c r="N123" s="16" t="str">
        <f>HYPERLINK("http://slimages.macys.com/is/image/MCY/19349047 ")</f>
        <v xml:space="preserve">http://slimages.macys.com/is/image/MCY/19349047 </v>
      </c>
      <c r="O123" s="30"/>
    </row>
    <row r="124" spans="1:15" ht="48" x14ac:dyDescent="0.25">
      <c r="A124" s="19" t="s">
        <v>2159</v>
      </c>
      <c r="B124" s="17" t="s">
        <v>2158</v>
      </c>
      <c r="C124" s="20">
        <v>1</v>
      </c>
      <c r="D124" s="18">
        <v>39</v>
      </c>
      <c r="E124" s="18">
        <v>99.99</v>
      </c>
      <c r="F124" s="20">
        <v>50039441</v>
      </c>
      <c r="G124" s="17" t="s">
        <v>51</v>
      </c>
      <c r="H124" s="19" t="s">
        <v>880</v>
      </c>
      <c r="I124" s="18">
        <v>26</v>
      </c>
      <c r="J124" s="17" t="s">
        <v>879</v>
      </c>
      <c r="K124" s="17" t="s">
        <v>850</v>
      </c>
      <c r="L124" s="17"/>
      <c r="M124" s="17"/>
      <c r="N124" s="16" t="str">
        <f>HYPERLINK("http://slimages.macys.com/is/image/MCY/17970020 ")</f>
        <v xml:space="preserve">http://slimages.macys.com/is/image/MCY/17970020 </v>
      </c>
      <c r="O124" s="30"/>
    </row>
    <row r="125" spans="1:15" ht="48" x14ac:dyDescent="0.25">
      <c r="A125" s="19" t="s">
        <v>2157</v>
      </c>
      <c r="B125" s="17" t="s">
        <v>2156</v>
      </c>
      <c r="C125" s="20">
        <v>4</v>
      </c>
      <c r="D125" s="18">
        <v>38.979999999999997</v>
      </c>
      <c r="E125" s="18">
        <v>139</v>
      </c>
      <c r="F125" s="20" t="s">
        <v>1418</v>
      </c>
      <c r="G125" s="17" t="s">
        <v>575</v>
      </c>
      <c r="H125" s="19" t="s">
        <v>1862</v>
      </c>
      <c r="I125" s="18">
        <v>25.986666666666668</v>
      </c>
      <c r="J125" s="17" t="s">
        <v>820</v>
      </c>
      <c r="K125" s="17" t="s">
        <v>67</v>
      </c>
      <c r="L125" s="17"/>
      <c r="M125" s="17"/>
      <c r="N125" s="16" t="str">
        <f>HYPERLINK("http://slimages.macys.com/is/image/MCY/18851459 ")</f>
        <v xml:space="preserve">http://slimages.macys.com/is/image/MCY/18851459 </v>
      </c>
      <c r="O125" s="30"/>
    </row>
    <row r="126" spans="1:15" ht="48" x14ac:dyDescent="0.25">
      <c r="A126" s="19" t="s">
        <v>2155</v>
      </c>
      <c r="B126" s="17" t="s">
        <v>2154</v>
      </c>
      <c r="C126" s="20">
        <v>1</v>
      </c>
      <c r="D126" s="18">
        <v>38.07</v>
      </c>
      <c r="E126" s="18">
        <v>89.99</v>
      </c>
      <c r="F126" s="20" t="s">
        <v>2153</v>
      </c>
      <c r="G126" s="17" t="s">
        <v>58</v>
      </c>
      <c r="H126" s="19"/>
      <c r="I126" s="18">
        <v>25.38</v>
      </c>
      <c r="J126" s="17" t="s">
        <v>42</v>
      </c>
      <c r="K126" s="17" t="s">
        <v>41</v>
      </c>
      <c r="L126" s="17"/>
      <c r="M126" s="17"/>
      <c r="N126" s="16" t="str">
        <f>HYPERLINK("http://slimages.macys.com/is/image/MCY/16374379 ")</f>
        <v xml:space="preserve">http://slimages.macys.com/is/image/MCY/16374379 </v>
      </c>
      <c r="O126" s="30"/>
    </row>
    <row r="127" spans="1:15" ht="48" x14ac:dyDescent="0.25">
      <c r="A127" s="19" t="s">
        <v>2152</v>
      </c>
      <c r="B127" s="17" t="s">
        <v>2151</v>
      </c>
      <c r="C127" s="20">
        <v>1</v>
      </c>
      <c r="D127" s="18">
        <v>37.26</v>
      </c>
      <c r="E127" s="18">
        <v>138</v>
      </c>
      <c r="F127" s="20" t="s">
        <v>2150</v>
      </c>
      <c r="G127" s="17" t="s">
        <v>578</v>
      </c>
      <c r="H127" s="19" t="s">
        <v>96</v>
      </c>
      <c r="I127" s="18">
        <v>24.84</v>
      </c>
      <c r="J127" s="17" t="s">
        <v>115</v>
      </c>
      <c r="K127" s="17" t="s">
        <v>742</v>
      </c>
      <c r="L127" s="17"/>
      <c r="M127" s="17"/>
      <c r="N127" s="16" t="str">
        <f>HYPERLINK("http://slimages.macys.com/is/image/MCY/19686963 ")</f>
        <v xml:space="preserve">http://slimages.macys.com/is/image/MCY/19686963 </v>
      </c>
      <c r="O127" s="30"/>
    </row>
    <row r="128" spans="1:15" ht="108" x14ac:dyDescent="0.25">
      <c r="A128" s="19" t="s">
        <v>2149</v>
      </c>
      <c r="B128" s="17" t="s">
        <v>2148</v>
      </c>
      <c r="C128" s="20">
        <v>1</v>
      </c>
      <c r="D128" s="18">
        <v>37</v>
      </c>
      <c r="E128" s="18">
        <v>99.99</v>
      </c>
      <c r="F128" s="20">
        <v>50038275</v>
      </c>
      <c r="G128" s="17" t="s">
        <v>623</v>
      </c>
      <c r="H128" s="19" t="s">
        <v>898</v>
      </c>
      <c r="I128" s="18">
        <v>24.666666666666668</v>
      </c>
      <c r="J128" s="17" t="s">
        <v>854</v>
      </c>
      <c r="K128" s="17" t="s">
        <v>850</v>
      </c>
      <c r="L128" s="17" t="s">
        <v>389</v>
      </c>
      <c r="M128" s="17" t="s">
        <v>2147</v>
      </c>
      <c r="N128" s="16" t="str">
        <f>HYPERLINK("http://slimages.macys.com/is/image/MCY/11778866 ")</f>
        <v xml:space="preserve">http://slimages.macys.com/is/image/MCY/11778866 </v>
      </c>
      <c r="O128" s="30"/>
    </row>
    <row r="129" spans="1:15" ht="60" x14ac:dyDescent="0.25">
      <c r="A129" s="19" t="s">
        <v>2146</v>
      </c>
      <c r="B129" s="17" t="s">
        <v>2145</v>
      </c>
      <c r="C129" s="20">
        <v>1</v>
      </c>
      <c r="D129" s="18">
        <v>36.909999999999997</v>
      </c>
      <c r="E129" s="18">
        <v>129.5</v>
      </c>
      <c r="F129" s="20" t="s">
        <v>2144</v>
      </c>
      <c r="G129" s="17" t="s">
        <v>23</v>
      </c>
      <c r="H129" s="19" t="s">
        <v>1292</v>
      </c>
      <c r="I129" s="18">
        <v>24.606666666666666</v>
      </c>
      <c r="J129" s="17" t="s">
        <v>540</v>
      </c>
      <c r="K129" s="17" t="s">
        <v>105</v>
      </c>
      <c r="L129" s="17"/>
      <c r="M129" s="17"/>
      <c r="N129" s="16" t="str">
        <f>HYPERLINK("http://slimages.macys.com/is/image/MCY/19036548 ")</f>
        <v xml:space="preserve">http://slimages.macys.com/is/image/MCY/19036548 </v>
      </c>
      <c r="O129" s="30"/>
    </row>
    <row r="130" spans="1:15" ht="48" x14ac:dyDescent="0.25">
      <c r="A130" s="19" t="s">
        <v>2143</v>
      </c>
      <c r="B130" s="17" t="s">
        <v>2142</v>
      </c>
      <c r="C130" s="20">
        <v>1</v>
      </c>
      <c r="D130" s="18">
        <v>36.58</v>
      </c>
      <c r="E130" s="18">
        <v>129.5</v>
      </c>
      <c r="F130" s="20" t="s">
        <v>2141</v>
      </c>
      <c r="G130" s="17" t="s">
        <v>58</v>
      </c>
      <c r="H130" s="19" t="s">
        <v>57</v>
      </c>
      <c r="I130" s="18">
        <v>24.386666666666667</v>
      </c>
      <c r="J130" s="17" t="s">
        <v>68</v>
      </c>
      <c r="K130" s="17" t="s">
        <v>67</v>
      </c>
      <c r="L130" s="17"/>
      <c r="M130" s="17"/>
      <c r="N130" s="16" t="str">
        <f>HYPERLINK("http://slimages.macys.com/is/image/MCY/18390608 ")</f>
        <v xml:space="preserve">http://slimages.macys.com/is/image/MCY/18390608 </v>
      </c>
      <c r="O130" s="30"/>
    </row>
    <row r="131" spans="1:15" ht="48" x14ac:dyDescent="0.25">
      <c r="A131" s="19" t="s">
        <v>2140</v>
      </c>
      <c r="B131" s="17" t="s">
        <v>2139</v>
      </c>
      <c r="C131" s="20">
        <v>2</v>
      </c>
      <c r="D131" s="18">
        <v>35.75</v>
      </c>
      <c r="E131" s="18">
        <v>108</v>
      </c>
      <c r="F131" s="20" t="s">
        <v>2138</v>
      </c>
      <c r="G131" s="17" t="s">
        <v>390</v>
      </c>
      <c r="H131" s="19" t="s">
        <v>419</v>
      </c>
      <c r="I131" s="18">
        <v>23.833333333333336</v>
      </c>
      <c r="J131" s="17" t="s">
        <v>49</v>
      </c>
      <c r="K131" s="17" t="s">
        <v>48</v>
      </c>
      <c r="L131" s="17"/>
      <c r="M131" s="17"/>
      <c r="N131" s="16" t="str">
        <f>HYPERLINK("http://slimages.macys.com/is/image/MCY/19348863 ")</f>
        <v xml:space="preserve">http://slimages.macys.com/is/image/MCY/19348863 </v>
      </c>
      <c r="O131" s="30"/>
    </row>
    <row r="132" spans="1:15" ht="48" x14ac:dyDescent="0.25">
      <c r="A132" s="19" t="s">
        <v>2137</v>
      </c>
      <c r="B132" s="17" t="s">
        <v>2136</v>
      </c>
      <c r="C132" s="20">
        <v>5</v>
      </c>
      <c r="D132" s="18">
        <v>35.75</v>
      </c>
      <c r="E132" s="18">
        <v>108</v>
      </c>
      <c r="F132" s="20" t="s">
        <v>2135</v>
      </c>
      <c r="G132" s="17" t="s">
        <v>330</v>
      </c>
      <c r="H132" s="19" t="s">
        <v>419</v>
      </c>
      <c r="I132" s="18">
        <v>23.833333333333336</v>
      </c>
      <c r="J132" s="17" t="s">
        <v>49</v>
      </c>
      <c r="K132" s="17" t="s">
        <v>48</v>
      </c>
      <c r="L132" s="17"/>
      <c r="M132" s="17"/>
      <c r="N132" s="16" t="str">
        <f>HYPERLINK("http://slimages.macys.com/is/image/MCY/17678200 ")</f>
        <v xml:space="preserve">http://slimages.macys.com/is/image/MCY/17678200 </v>
      </c>
      <c r="O132" s="30"/>
    </row>
    <row r="133" spans="1:15" ht="48" x14ac:dyDescent="0.25">
      <c r="A133" s="19" t="s">
        <v>2134</v>
      </c>
      <c r="B133" s="17" t="s">
        <v>2133</v>
      </c>
      <c r="C133" s="20">
        <v>1</v>
      </c>
      <c r="D133" s="18">
        <v>35</v>
      </c>
      <c r="E133" s="18">
        <v>139</v>
      </c>
      <c r="F133" s="20" t="s">
        <v>2132</v>
      </c>
      <c r="G133" s="17" t="s">
        <v>85</v>
      </c>
      <c r="H133" s="19" t="s">
        <v>2131</v>
      </c>
      <c r="I133" s="18">
        <v>23.333333333333336</v>
      </c>
      <c r="J133" s="17" t="s">
        <v>115</v>
      </c>
      <c r="K133" s="17" t="s">
        <v>2130</v>
      </c>
      <c r="L133" s="17"/>
      <c r="M133" s="17"/>
      <c r="N133" s="16" t="str">
        <f>HYPERLINK("http://slimages.macys.com/is/image/MCY/18746655 ")</f>
        <v xml:space="preserve">http://slimages.macys.com/is/image/MCY/18746655 </v>
      </c>
      <c r="O133" s="30"/>
    </row>
    <row r="134" spans="1:15" ht="60" x14ac:dyDescent="0.25">
      <c r="A134" s="19" t="s">
        <v>2129</v>
      </c>
      <c r="B134" s="17" t="s">
        <v>2128</v>
      </c>
      <c r="C134" s="20">
        <v>1</v>
      </c>
      <c r="D134" s="18">
        <v>35</v>
      </c>
      <c r="E134" s="18">
        <v>79.989999999999995</v>
      </c>
      <c r="F134" s="20">
        <v>50038767</v>
      </c>
      <c r="G134" s="17" t="s">
        <v>18</v>
      </c>
      <c r="H134" s="19" t="s">
        <v>96</v>
      </c>
      <c r="I134" s="18">
        <v>23.333333333333336</v>
      </c>
      <c r="J134" s="17" t="s">
        <v>854</v>
      </c>
      <c r="K134" s="17" t="s">
        <v>850</v>
      </c>
      <c r="L134" s="17" t="s">
        <v>389</v>
      </c>
      <c r="M134" s="17" t="s">
        <v>1154</v>
      </c>
      <c r="N134" s="16" t="str">
        <f>HYPERLINK("http://slimages.macys.com/is/image/MCY/15010318 ")</f>
        <v xml:space="preserve">http://slimages.macys.com/is/image/MCY/15010318 </v>
      </c>
      <c r="O134" s="30"/>
    </row>
    <row r="135" spans="1:15" ht="48" x14ac:dyDescent="0.25">
      <c r="A135" s="19" t="s">
        <v>2127</v>
      </c>
      <c r="B135" s="17" t="s">
        <v>2126</v>
      </c>
      <c r="C135" s="20">
        <v>1</v>
      </c>
      <c r="D135" s="18">
        <v>34.299999999999997</v>
      </c>
      <c r="E135" s="18">
        <v>98</v>
      </c>
      <c r="F135" s="20" t="s">
        <v>1379</v>
      </c>
      <c r="G135" s="17" t="s">
        <v>508</v>
      </c>
      <c r="H135" s="19" t="s">
        <v>62</v>
      </c>
      <c r="I135" s="18">
        <v>22.866666666666667</v>
      </c>
      <c r="J135" s="17" t="s">
        <v>133</v>
      </c>
      <c r="K135" s="17" t="s">
        <v>132</v>
      </c>
      <c r="L135" s="17"/>
      <c r="M135" s="17"/>
      <c r="N135" s="16" t="str">
        <f>HYPERLINK("http://slimages.macys.com/is/image/MCY/19700373 ")</f>
        <v xml:space="preserve">http://slimages.macys.com/is/image/MCY/19700373 </v>
      </c>
      <c r="O135" s="30"/>
    </row>
    <row r="136" spans="1:15" ht="48" x14ac:dyDescent="0.25">
      <c r="A136" s="19" t="s">
        <v>1376</v>
      </c>
      <c r="B136" s="17" t="s">
        <v>1375</v>
      </c>
      <c r="C136" s="20">
        <v>8</v>
      </c>
      <c r="D136" s="18">
        <v>34</v>
      </c>
      <c r="E136" s="18">
        <v>98</v>
      </c>
      <c r="F136" s="20" t="s">
        <v>1374</v>
      </c>
      <c r="G136" s="17" t="s">
        <v>23</v>
      </c>
      <c r="H136" s="19" t="s">
        <v>62</v>
      </c>
      <c r="I136" s="18">
        <v>22.666666666666668</v>
      </c>
      <c r="J136" s="17" t="s">
        <v>133</v>
      </c>
      <c r="K136" s="17" t="s">
        <v>833</v>
      </c>
      <c r="L136" s="17"/>
      <c r="M136" s="17"/>
      <c r="N136" s="16" t="str">
        <f>HYPERLINK("http://slimages.macys.com/is/image/MCY/19305311 ")</f>
        <v xml:space="preserve">http://slimages.macys.com/is/image/MCY/19305311 </v>
      </c>
      <c r="O136" s="30"/>
    </row>
    <row r="137" spans="1:15" ht="48" x14ac:dyDescent="0.25">
      <c r="A137" s="19" t="s">
        <v>2125</v>
      </c>
      <c r="B137" s="17" t="s">
        <v>2124</v>
      </c>
      <c r="C137" s="20">
        <v>4</v>
      </c>
      <c r="D137" s="18">
        <v>34</v>
      </c>
      <c r="E137" s="18">
        <v>98</v>
      </c>
      <c r="F137" s="20" t="s">
        <v>1374</v>
      </c>
      <c r="G137" s="17" t="s">
        <v>23</v>
      </c>
      <c r="H137" s="19" t="s">
        <v>57</v>
      </c>
      <c r="I137" s="18">
        <v>22.666666666666668</v>
      </c>
      <c r="J137" s="17" t="s">
        <v>133</v>
      </c>
      <c r="K137" s="17" t="s">
        <v>833</v>
      </c>
      <c r="L137" s="17"/>
      <c r="M137" s="17"/>
      <c r="N137" s="16" t="str">
        <f>HYPERLINK("http://slimages.macys.com/is/image/MCY/19305311 ")</f>
        <v xml:space="preserve">http://slimages.macys.com/is/image/MCY/19305311 </v>
      </c>
      <c r="O137" s="30"/>
    </row>
    <row r="138" spans="1:15" ht="48" x14ac:dyDescent="0.25">
      <c r="A138" s="19" t="s">
        <v>2123</v>
      </c>
      <c r="B138" s="17" t="s">
        <v>2122</v>
      </c>
      <c r="C138" s="20">
        <v>2</v>
      </c>
      <c r="D138" s="18">
        <v>34</v>
      </c>
      <c r="E138" s="18">
        <v>98</v>
      </c>
      <c r="F138" s="20" t="s">
        <v>1379</v>
      </c>
      <c r="G138" s="17" t="s">
        <v>575</v>
      </c>
      <c r="H138" s="19" t="s">
        <v>62</v>
      </c>
      <c r="I138" s="18">
        <v>22.666666666666668</v>
      </c>
      <c r="J138" s="17" t="s">
        <v>133</v>
      </c>
      <c r="K138" s="17" t="s">
        <v>132</v>
      </c>
      <c r="L138" s="17"/>
      <c r="M138" s="17"/>
      <c r="N138" s="16" t="str">
        <f>HYPERLINK("http://slimages.macys.com/is/image/MCY/19700373 ")</f>
        <v xml:space="preserve">http://slimages.macys.com/is/image/MCY/19700373 </v>
      </c>
      <c r="O138" s="30"/>
    </row>
    <row r="139" spans="1:15" ht="48" x14ac:dyDescent="0.25">
      <c r="A139" s="19" t="s">
        <v>2121</v>
      </c>
      <c r="B139" s="17" t="s">
        <v>2120</v>
      </c>
      <c r="C139" s="20">
        <v>1</v>
      </c>
      <c r="D139" s="18">
        <v>32.840000000000003</v>
      </c>
      <c r="E139" s="18">
        <v>99.5</v>
      </c>
      <c r="F139" s="20" t="s">
        <v>2119</v>
      </c>
      <c r="G139" s="17" t="s">
        <v>51</v>
      </c>
      <c r="H139" s="19" t="s">
        <v>682</v>
      </c>
      <c r="I139" s="18">
        <v>21.893333333333334</v>
      </c>
      <c r="J139" s="17" t="s">
        <v>654</v>
      </c>
      <c r="K139" s="17" t="s">
        <v>653</v>
      </c>
      <c r="L139" s="17"/>
      <c r="M139" s="17"/>
      <c r="N139" s="16" t="str">
        <f>HYPERLINK("http://slimages.macys.com/is/image/MCY/18705323 ")</f>
        <v xml:space="preserve">http://slimages.macys.com/is/image/MCY/18705323 </v>
      </c>
      <c r="O139" s="30"/>
    </row>
    <row r="140" spans="1:15" ht="84" x14ac:dyDescent="0.25">
      <c r="A140" s="19" t="s">
        <v>2118</v>
      </c>
      <c r="B140" s="17" t="s">
        <v>2117</v>
      </c>
      <c r="C140" s="20">
        <v>3</v>
      </c>
      <c r="D140" s="18">
        <v>32.5</v>
      </c>
      <c r="E140" s="18">
        <v>89</v>
      </c>
      <c r="F140" s="20" t="s">
        <v>2116</v>
      </c>
      <c r="G140" s="17" t="s">
        <v>91</v>
      </c>
      <c r="H140" s="19" t="s">
        <v>773</v>
      </c>
      <c r="I140" s="18">
        <v>21.666666666666668</v>
      </c>
      <c r="J140" s="17" t="s">
        <v>678</v>
      </c>
      <c r="K140" s="17" t="s">
        <v>404</v>
      </c>
      <c r="L140" s="17" t="s">
        <v>389</v>
      </c>
      <c r="M140" s="17" t="s">
        <v>2115</v>
      </c>
      <c r="N140" s="16" t="str">
        <f>HYPERLINK("http://slimages.macys.com/is/image/MCY/8809233 ")</f>
        <v xml:space="preserve">http://slimages.macys.com/is/image/MCY/8809233 </v>
      </c>
      <c r="O140" s="30"/>
    </row>
    <row r="141" spans="1:15" ht="48" x14ac:dyDescent="0.25">
      <c r="A141" s="19" t="s">
        <v>2114</v>
      </c>
      <c r="B141" s="17" t="s">
        <v>2113</v>
      </c>
      <c r="C141" s="20">
        <v>1</v>
      </c>
      <c r="D141" s="18">
        <v>32.44</v>
      </c>
      <c r="E141" s="18">
        <v>98</v>
      </c>
      <c r="F141" s="20" t="s">
        <v>2112</v>
      </c>
      <c r="G141" s="17" t="s">
        <v>58</v>
      </c>
      <c r="H141" s="19" t="s">
        <v>17</v>
      </c>
      <c r="I141" s="18">
        <v>21.626666666666669</v>
      </c>
      <c r="J141" s="17" t="s">
        <v>49</v>
      </c>
      <c r="K141" s="17" t="s">
        <v>48</v>
      </c>
      <c r="L141" s="17"/>
      <c r="M141" s="17"/>
      <c r="N141" s="16" t="str">
        <f>HYPERLINK("http://slimages.macys.com/is/image/MCY/19350222 ")</f>
        <v xml:space="preserve">http://slimages.macys.com/is/image/MCY/19350222 </v>
      </c>
      <c r="O141" s="30"/>
    </row>
    <row r="142" spans="1:15" ht="48" x14ac:dyDescent="0.25">
      <c r="A142" s="19" t="s">
        <v>2111</v>
      </c>
      <c r="B142" s="17" t="s">
        <v>2110</v>
      </c>
      <c r="C142" s="20">
        <v>1</v>
      </c>
      <c r="D142" s="18">
        <v>32.44</v>
      </c>
      <c r="E142" s="18">
        <v>98</v>
      </c>
      <c r="F142" s="20" t="s">
        <v>2109</v>
      </c>
      <c r="G142" s="17" t="s">
        <v>575</v>
      </c>
      <c r="H142" s="19" t="s">
        <v>17</v>
      </c>
      <c r="I142" s="18">
        <v>21.626666666666669</v>
      </c>
      <c r="J142" s="17" t="s">
        <v>49</v>
      </c>
      <c r="K142" s="17" t="s">
        <v>48</v>
      </c>
      <c r="L142" s="17"/>
      <c r="M142" s="17"/>
      <c r="N142" s="16" t="str">
        <f>HYPERLINK("http://slimages.macys.com/is/image/MCY/19738351 ")</f>
        <v xml:space="preserve">http://slimages.macys.com/is/image/MCY/19738351 </v>
      </c>
      <c r="O142" s="30"/>
    </row>
    <row r="143" spans="1:15" ht="48" x14ac:dyDescent="0.25">
      <c r="A143" s="19" t="s">
        <v>2108</v>
      </c>
      <c r="B143" s="17" t="s">
        <v>2107</v>
      </c>
      <c r="C143" s="20">
        <v>1</v>
      </c>
      <c r="D143" s="18">
        <v>32.44</v>
      </c>
      <c r="E143" s="18">
        <v>98</v>
      </c>
      <c r="F143" s="20" t="s">
        <v>665</v>
      </c>
      <c r="G143" s="17" t="s">
        <v>734</v>
      </c>
      <c r="H143" s="19" t="s">
        <v>17</v>
      </c>
      <c r="I143" s="18">
        <v>21.626666666666669</v>
      </c>
      <c r="J143" s="17" t="s">
        <v>49</v>
      </c>
      <c r="K143" s="17" t="s">
        <v>48</v>
      </c>
      <c r="L143" s="17"/>
      <c r="M143" s="17"/>
      <c r="N143" s="16" t="str">
        <f>HYPERLINK("http://slimages.macys.com/is/image/MCY/16691834 ")</f>
        <v xml:space="preserve">http://slimages.macys.com/is/image/MCY/16691834 </v>
      </c>
      <c r="O143" s="30"/>
    </row>
    <row r="144" spans="1:15" ht="48" x14ac:dyDescent="0.25">
      <c r="A144" s="19" t="s">
        <v>2106</v>
      </c>
      <c r="B144" s="17" t="s">
        <v>2105</v>
      </c>
      <c r="C144" s="20">
        <v>1</v>
      </c>
      <c r="D144" s="18">
        <v>32.44</v>
      </c>
      <c r="E144" s="18">
        <v>98</v>
      </c>
      <c r="F144" s="20" t="s">
        <v>2104</v>
      </c>
      <c r="G144" s="17" t="s">
        <v>58</v>
      </c>
      <c r="H144" s="19" t="s">
        <v>101</v>
      </c>
      <c r="I144" s="18">
        <v>21.626666666666669</v>
      </c>
      <c r="J144" s="17" t="s">
        <v>49</v>
      </c>
      <c r="K144" s="17" t="s">
        <v>48</v>
      </c>
      <c r="L144" s="17"/>
      <c r="M144" s="17"/>
      <c r="N144" s="16" t="str">
        <f>HYPERLINK("http://slimages.macys.com/is/image/MCY/18610731 ")</f>
        <v xml:space="preserve">http://slimages.macys.com/is/image/MCY/18610731 </v>
      </c>
      <c r="O144" s="30"/>
    </row>
    <row r="145" spans="1:15" ht="48" x14ac:dyDescent="0.25">
      <c r="A145" s="19" t="s">
        <v>2103</v>
      </c>
      <c r="B145" s="17" t="s">
        <v>2102</v>
      </c>
      <c r="C145" s="20">
        <v>1</v>
      </c>
      <c r="D145" s="18">
        <v>32.44</v>
      </c>
      <c r="E145" s="18">
        <v>98</v>
      </c>
      <c r="F145" s="20" t="s">
        <v>691</v>
      </c>
      <c r="G145" s="17" t="s">
        <v>140</v>
      </c>
      <c r="H145" s="19"/>
      <c r="I145" s="18">
        <v>21.626666666666669</v>
      </c>
      <c r="J145" s="17" t="s">
        <v>49</v>
      </c>
      <c r="K145" s="17" t="s">
        <v>48</v>
      </c>
      <c r="L145" s="17"/>
      <c r="M145" s="17"/>
      <c r="N145" s="16" t="str">
        <f>HYPERLINK("http://slimages.macys.com/is/image/MCY/19379962 ")</f>
        <v xml:space="preserve">http://slimages.macys.com/is/image/MCY/19379962 </v>
      </c>
      <c r="O145" s="30"/>
    </row>
    <row r="146" spans="1:15" ht="48" x14ac:dyDescent="0.25">
      <c r="A146" s="19" t="s">
        <v>2101</v>
      </c>
      <c r="B146" s="17" t="s">
        <v>2100</v>
      </c>
      <c r="C146" s="20">
        <v>2</v>
      </c>
      <c r="D146" s="18">
        <v>32.44</v>
      </c>
      <c r="E146" s="18">
        <v>98</v>
      </c>
      <c r="F146" s="20" t="s">
        <v>665</v>
      </c>
      <c r="G146" s="17" t="s">
        <v>734</v>
      </c>
      <c r="H146" s="19" t="s">
        <v>50</v>
      </c>
      <c r="I146" s="18">
        <v>21.626666666666669</v>
      </c>
      <c r="J146" s="17" t="s">
        <v>49</v>
      </c>
      <c r="K146" s="17" t="s">
        <v>48</v>
      </c>
      <c r="L146" s="17"/>
      <c r="M146" s="17"/>
      <c r="N146" s="16" t="str">
        <f>HYPERLINK("http://slimages.macys.com/is/image/MCY/16691834 ")</f>
        <v xml:space="preserve">http://slimages.macys.com/is/image/MCY/16691834 </v>
      </c>
      <c r="O146" s="30"/>
    </row>
    <row r="147" spans="1:15" ht="48" x14ac:dyDescent="0.25">
      <c r="A147" s="19" t="s">
        <v>2099</v>
      </c>
      <c r="B147" s="17" t="s">
        <v>2098</v>
      </c>
      <c r="C147" s="20">
        <v>2</v>
      </c>
      <c r="D147" s="18">
        <v>32.44</v>
      </c>
      <c r="E147" s="18">
        <v>98</v>
      </c>
      <c r="F147" s="20" t="s">
        <v>2097</v>
      </c>
      <c r="G147" s="17" t="s">
        <v>58</v>
      </c>
      <c r="H147" s="19"/>
      <c r="I147" s="18">
        <v>21.626666666666669</v>
      </c>
      <c r="J147" s="17" t="s">
        <v>49</v>
      </c>
      <c r="K147" s="17" t="s">
        <v>48</v>
      </c>
      <c r="L147" s="17"/>
      <c r="M147" s="17"/>
      <c r="N147" s="16" t="str">
        <f>HYPERLINK("http://slimages.macys.com/is/image/MCY/19177563 ")</f>
        <v xml:space="preserve">http://slimages.macys.com/is/image/MCY/19177563 </v>
      </c>
      <c r="O147" s="30"/>
    </row>
    <row r="148" spans="1:15" ht="60" x14ac:dyDescent="0.25">
      <c r="A148" s="19" t="s">
        <v>2096</v>
      </c>
      <c r="B148" s="17" t="s">
        <v>2095</v>
      </c>
      <c r="C148" s="20">
        <v>1</v>
      </c>
      <c r="D148" s="18">
        <v>31.2</v>
      </c>
      <c r="E148" s="18">
        <v>78</v>
      </c>
      <c r="F148" s="20" t="s">
        <v>2094</v>
      </c>
      <c r="G148" s="17" t="s">
        <v>28</v>
      </c>
      <c r="H148" s="19"/>
      <c r="I148" s="18">
        <v>20.8</v>
      </c>
      <c r="J148" s="17" t="s">
        <v>148</v>
      </c>
      <c r="K148" s="17" t="s">
        <v>2093</v>
      </c>
      <c r="L148" s="17"/>
      <c r="M148" s="17"/>
      <c r="N148" s="16" t="str">
        <f>HYPERLINK("http://slimages.macys.com/is/image/MCY/18610441 ")</f>
        <v xml:space="preserve">http://slimages.macys.com/is/image/MCY/18610441 </v>
      </c>
      <c r="O148" s="30"/>
    </row>
    <row r="149" spans="1:15" ht="48" x14ac:dyDescent="0.25">
      <c r="A149" s="19" t="s">
        <v>2092</v>
      </c>
      <c r="B149" s="17" t="s">
        <v>2091</v>
      </c>
      <c r="C149" s="20">
        <v>2</v>
      </c>
      <c r="D149" s="18">
        <v>31</v>
      </c>
      <c r="E149" s="18">
        <v>88</v>
      </c>
      <c r="F149" s="20" t="s">
        <v>1332</v>
      </c>
      <c r="G149" s="17" t="s">
        <v>508</v>
      </c>
      <c r="H149" s="19" t="s">
        <v>197</v>
      </c>
      <c r="I149" s="18">
        <v>20.666666666666668</v>
      </c>
      <c r="J149" s="17" t="s">
        <v>133</v>
      </c>
      <c r="K149" s="17" t="s">
        <v>132</v>
      </c>
      <c r="L149" s="17"/>
      <c r="M149" s="17"/>
      <c r="N149" s="16" t="str">
        <f>HYPERLINK("http://slimages.macys.com/is/image/MCY/19700402 ")</f>
        <v xml:space="preserve">http://slimages.macys.com/is/image/MCY/19700402 </v>
      </c>
      <c r="O149" s="30"/>
    </row>
    <row r="150" spans="1:15" ht="108" x14ac:dyDescent="0.25">
      <c r="A150" s="19" t="s">
        <v>2090</v>
      </c>
      <c r="B150" s="17" t="s">
        <v>2089</v>
      </c>
      <c r="C150" s="20">
        <v>1</v>
      </c>
      <c r="D150" s="18">
        <v>31</v>
      </c>
      <c r="E150" s="18">
        <v>119</v>
      </c>
      <c r="F150" s="20" t="s">
        <v>1337</v>
      </c>
      <c r="G150" s="17" t="s">
        <v>575</v>
      </c>
      <c r="H150" s="19" t="s">
        <v>1336</v>
      </c>
      <c r="I150" s="18">
        <v>20.666666666666668</v>
      </c>
      <c r="J150" s="17" t="s">
        <v>550</v>
      </c>
      <c r="K150" s="17" t="s">
        <v>1090</v>
      </c>
      <c r="L150" s="17" t="s">
        <v>389</v>
      </c>
      <c r="M150" s="17" t="s">
        <v>1335</v>
      </c>
      <c r="N150" s="16" t="str">
        <f>HYPERLINK("http://slimages.macys.com/is/image/MCY/9626500 ")</f>
        <v xml:space="preserve">http://slimages.macys.com/is/image/MCY/9626500 </v>
      </c>
      <c r="O150" s="30"/>
    </row>
    <row r="151" spans="1:15" ht="48" x14ac:dyDescent="0.25">
      <c r="A151" s="19" t="s">
        <v>2088</v>
      </c>
      <c r="B151" s="17" t="s">
        <v>2087</v>
      </c>
      <c r="C151" s="20">
        <v>2</v>
      </c>
      <c r="D151" s="18">
        <v>30.8</v>
      </c>
      <c r="E151" s="18">
        <v>88</v>
      </c>
      <c r="F151" s="20" t="s">
        <v>134</v>
      </c>
      <c r="G151" s="17" t="s">
        <v>85</v>
      </c>
      <c r="H151" s="19" t="s">
        <v>197</v>
      </c>
      <c r="I151" s="18">
        <v>20.533333333333335</v>
      </c>
      <c r="J151" s="17" t="s">
        <v>133</v>
      </c>
      <c r="K151" s="17" t="s">
        <v>132</v>
      </c>
      <c r="L151" s="17"/>
      <c r="M151" s="17"/>
      <c r="N151" s="16" t="str">
        <f t="shared" ref="N151:N157" si="3">HYPERLINK("http://slimages.macys.com/is/image/MCY/19700488 ")</f>
        <v xml:space="preserve">http://slimages.macys.com/is/image/MCY/19700488 </v>
      </c>
      <c r="O151" s="30"/>
    </row>
    <row r="152" spans="1:15" ht="48" x14ac:dyDescent="0.25">
      <c r="A152" s="19" t="s">
        <v>2086</v>
      </c>
      <c r="B152" s="17" t="s">
        <v>2085</v>
      </c>
      <c r="C152" s="20">
        <v>1</v>
      </c>
      <c r="D152" s="18">
        <v>30.8</v>
      </c>
      <c r="E152" s="18">
        <v>88</v>
      </c>
      <c r="F152" s="20" t="s">
        <v>134</v>
      </c>
      <c r="G152" s="17" t="s">
        <v>85</v>
      </c>
      <c r="H152" s="19" t="s">
        <v>74</v>
      </c>
      <c r="I152" s="18">
        <v>20.533333333333335</v>
      </c>
      <c r="J152" s="17" t="s">
        <v>133</v>
      </c>
      <c r="K152" s="17" t="s">
        <v>132</v>
      </c>
      <c r="L152" s="17"/>
      <c r="M152" s="17"/>
      <c r="N152" s="16" t="str">
        <f t="shared" si="3"/>
        <v xml:space="preserve">http://slimages.macys.com/is/image/MCY/19700488 </v>
      </c>
      <c r="O152" s="30"/>
    </row>
    <row r="153" spans="1:15" ht="48" x14ac:dyDescent="0.25">
      <c r="A153" s="19" t="s">
        <v>2084</v>
      </c>
      <c r="B153" s="17" t="s">
        <v>2083</v>
      </c>
      <c r="C153" s="20">
        <v>2</v>
      </c>
      <c r="D153" s="18">
        <v>30.8</v>
      </c>
      <c r="E153" s="18">
        <v>88</v>
      </c>
      <c r="F153" s="20" t="s">
        <v>134</v>
      </c>
      <c r="G153" s="17" t="s">
        <v>85</v>
      </c>
      <c r="H153" s="19" t="s">
        <v>62</v>
      </c>
      <c r="I153" s="18">
        <v>20.533333333333335</v>
      </c>
      <c r="J153" s="17" t="s">
        <v>133</v>
      </c>
      <c r="K153" s="17" t="s">
        <v>132</v>
      </c>
      <c r="L153" s="17"/>
      <c r="M153" s="17"/>
      <c r="N153" s="16" t="str">
        <f t="shared" si="3"/>
        <v xml:space="preserve">http://slimages.macys.com/is/image/MCY/19700488 </v>
      </c>
      <c r="O153" s="30"/>
    </row>
    <row r="154" spans="1:15" ht="48" x14ac:dyDescent="0.25">
      <c r="A154" s="19" t="s">
        <v>2082</v>
      </c>
      <c r="B154" s="17" t="s">
        <v>2081</v>
      </c>
      <c r="C154" s="20">
        <v>1</v>
      </c>
      <c r="D154" s="18">
        <v>30.8</v>
      </c>
      <c r="E154" s="18">
        <v>88</v>
      </c>
      <c r="F154" s="20" t="s">
        <v>134</v>
      </c>
      <c r="G154" s="17" t="s">
        <v>85</v>
      </c>
      <c r="H154" s="19" t="s">
        <v>69</v>
      </c>
      <c r="I154" s="18">
        <v>20.533333333333335</v>
      </c>
      <c r="J154" s="17" t="s">
        <v>133</v>
      </c>
      <c r="K154" s="17" t="s">
        <v>132</v>
      </c>
      <c r="L154" s="17"/>
      <c r="M154" s="17"/>
      <c r="N154" s="16" t="str">
        <f t="shared" si="3"/>
        <v xml:space="preserve">http://slimages.macys.com/is/image/MCY/19700488 </v>
      </c>
      <c r="O154" s="30"/>
    </row>
    <row r="155" spans="1:15" ht="48" x14ac:dyDescent="0.25">
      <c r="A155" s="19" t="s">
        <v>2080</v>
      </c>
      <c r="B155" s="17" t="s">
        <v>2079</v>
      </c>
      <c r="C155" s="20">
        <v>2</v>
      </c>
      <c r="D155" s="18">
        <v>30.8</v>
      </c>
      <c r="E155" s="18">
        <v>88</v>
      </c>
      <c r="F155" s="20" t="s">
        <v>134</v>
      </c>
      <c r="G155" s="17" t="s">
        <v>575</v>
      </c>
      <c r="H155" s="19" t="s">
        <v>62</v>
      </c>
      <c r="I155" s="18">
        <v>20.533333333333335</v>
      </c>
      <c r="J155" s="17" t="s">
        <v>133</v>
      </c>
      <c r="K155" s="17" t="s">
        <v>132</v>
      </c>
      <c r="L155" s="17"/>
      <c r="M155" s="17"/>
      <c r="N155" s="16" t="str">
        <f t="shared" si="3"/>
        <v xml:space="preserve">http://slimages.macys.com/is/image/MCY/19700488 </v>
      </c>
      <c r="O155" s="30"/>
    </row>
    <row r="156" spans="1:15" ht="48" x14ac:dyDescent="0.25">
      <c r="A156" s="19" t="s">
        <v>2078</v>
      </c>
      <c r="B156" s="17" t="s">
        <v>2077</v>
      </c>
      <c r="C156" s="20">
        <v>1</v>
      </c>
      <c r="D156" s="18">
        <v>30.8</v>
      </c>
      <c r="E156" s="18">
        <v>88</v>
      </c>
      <c r="F156" s="20" t="s">
        <v>134</v>
      </c>
      <c r="G156" s="17" t="s">
        <v>575</v>
      </c>
      <c r="H156" s="19" t="s">
        <v>69</v>
      </c>
      <c r="I156" s="18">
        <v>20.533333333333335</v>
      </c>
      <c r="J156" s="17" t="s">
        <v>133</v>
      </c>
      <c r="K156" s="17" t="s">
        <v>132</v>
      </c>
      <c r="L156" s="17"/>
      <c r="M156" s="17"/>
      <c r="N156" s="16" t="str">
        <f t="shared" si="3"/>
        <v xml:space="preserve">http://slimages.macys.com/is/image/MCY/19700488 </v>
      </c>
      <c r="O156" s="30"/>
    </row>
    <row r="157" spans="1:15" ht="48" x14ac:dyDescent="0.25">
      <c r="A157" s="19" t="s">
        <v>2076</v>
      </c>
      <c r="B157" s="17" t="s">
        <v>2075</v>
      </c>
      <c r="C157" s="20">
        <v>2</v>
      </c>
      <c r="D157" s="18">
        <v>30.8</v>
      </c>
      <c r="E157" s="18">
        <v>88</v>
      </c>
      <c r="F157" s="20" t="s">
        <v>134</v>
      </c>
      <c r="G157" s="17" t="s">
        <v>575</v>
      </c>
      <c r="H157" s="19" t="s">
        <v>197</v>
      </c>
      <c r="I157" s="18">
        <v>20.533333333333335</v>
      </c>
      <c r="J157" s="17" t="s">
        <v>133</v>
      </c>
      <c r="K157" s="17" t="s">
        <v>132</v>
      </c>
      <c r="L157" s="17"/>
      <c r="M157" s="17"/>
      <c r="N157" s="16" t="str">
        <f t="shared" si="3"/>
        <v xml:space="preserve">http://slimages.macys.com/is/image/MCY/19700488 </v>
      </c>
      <c r="O157" s="30"/>
    </row>
    <row r="158" spans="1:15" ht="48" x14ac:dyDescent="0.25">
      <c r="A158" s="19" t="s">
        <v>2074</v>
      </c>
      <c r="B158" s="17" t="s">
        <v>2073</v>
      </c>
      <c r="C158" s="20">
        <v>1</v>
      </c>
      <c r="D158" s="18">
        <v>30.8</v>
      </c>
      <c r="E158" s="18">
        <v>88</v>
      </c>
      <c r="F158" s="20" t="s">
        <v>1332</v>
      </c>
      <c r="G158" s="17" t="s">
        <v>85</v>
      </c>
      <c r="H158" s="19" t="s">
        <v>57</v>
      </c>
      <c r="I158" s="18">
        <v>20.533333333333335</v>
      </c>
      <c r="J158" s="17" t="s">
        <v>133</v>
      </c>
      <c r="K158" s="17" t="s">
        <v>132</v>
      </c>
      <c r="L158" s="17"/>
      <c r="M158" s="17"/>
      <c r="N158" s="16" t="str">
        <f>HYPERLINK("http://slimages.macys.com/is/image/MCY/19700402 ")</f>
        <v xml:space="preserve">http://slimages.macys.com/is/image/MCY/19700402 </v>
      </c>
      <c r="O158" s="30"/>
    </row>
    <row r="159" spans="1:15" ht="48" x14ac:dyDescent="0.25">
      <c r="A159" s="19" t="s">
        <v>2072</v>
      </c>
      <c r="B159" s="17" t="s">
        <v>2071</v>
      </c>
      <c r="C159" s="20">
        <v>2</v>
      </c>
      <c r="D159" s="18">
        <v>30.8</v>
      </c>
      <c r="E159" s="18">
        <v>88</v>
      </c>
      <c r="F159" s="20" t="s">
        <v>1332</v>
      </c>
      <c r="G159" s="17" t="s">
        <v>85</v>
      </c>
      <c r="H159" s="19" t="s">
        <v>74</v>
      </c>
      <c r="I159" s="18">
        <v>20.533333333333335</v>
      </c>
      <c r="J159" s="17" t="s">
        <v>133</v>
      </c>
      <c r="K159" s="17" t="s">
        <v>132</v>
      </c>
      <c r="L159" s="17"/>
      <c r="M159" s="17"/>
      <c r="N159" s="16" t="str">
        <f>HYPERLINK("http://slimages.macys.com/is/image/MCY/19700402 ")</f>
        <v xml:space="preserve">http://slimages.macys.com/is/image/MCY/19700402 </v>
      </c>
      <c r="O159" s="30"/>
    </row>
    <row r="160" spans="1:15" ht="48" x14ac:dyDescent="0.25">
      <c r="A160" s="19" t="s">
        <v>2070</v>
      </c>
      <c r="B160" s="17" t="s">
        <v>2069</v>
      </c>
      <c r="C160" s="20">
        <v>2</v>
      </c>
      <c r="D160" s="18">
        <v>30.8</v>
      </c>
      <c r="E160" s="18">
        <v>88</v>
      </c>
      <c r="F160" s="20" t="s">
        <v>1332</v>
      </c>
      <c r="G160" s="17" t="s">
        <v>85</v>
      </c>
      <c r="H160" s="19" t="s">
        <v>62</v>
      </c>
      <c r="I160" s="18">
        <v>20.533333333333335</v>
      </c>
      <c r="J160" s="17" t="s">
        <v>133</v>
      </c>
      <c r="K160" s="17" t="s">
        <v>132</v>
      </c>
      <c r="L160" s="17"/>
      <c r="M160" s="17"/>
      <c r="N160" s="16" t="str">
        <f>HYPERLINK("http://slimages.macys.com/is/image/MCY/19700402 ")</f>
        <v xml:space="preserve">http://slimages.macys.com/is/image/MCY/19700402 </v>
      </c>
      <c r="O160" s="30"/>
    </row>
    <row r="161" spans="1:15" ht="48" x14ac:dyDescent="0.25">
      <c r="A161" s="19" t="s">
        <v>2068</v>
      </c>
      <c r="B161" s="17" t="s">
        <v>2067</v>
      </c>
      <c r="C161" s="20">
        <v>2</v>
      </c>
      <c r="D161" s="18">
        <v>30.8</v>
      </c>
      <c r="E161" s="18">
        <v>88</v>
      </c>
      <c r="F161" s="20" t="s">
        <v>1332</v>
      </c>
      <c r="G161" s="17" t="s">
        <v>85</v>
      </c>
      <c r="H161" s="19" t="s">
        <v>197</v>
      </c>
      <c r="I161" s="18">
        <v>20.533333333333335</v>
      </c>
      <c r="J161" s="17" t="s">
        <v>133</v>
      </c>
      <c r="K161" s="17" t="s">
        <v>132</v>
      </c>
      <c r="L161" s="17"/>
      <c r="M161" s="17"/>
      <c r="N161" s="16" t="str">
        <f>HYPERLINK("http://slimages.macys.com/is/image/MCY/19700402 ")</f>
        <v xml:space="preserve">http://slimages.macys.com/is/image/MCY/19700402 </v>
      </c>
      <c r="O161" s="30"/>
    </row>
    <row r="162" spans="1:15" ht="48" x14ac:dyDescent="0.25">
      <c r="A162" s="19" t="s">
        <v>2066</v>
      </c>
      <c r="B162" s="17" t="s">
        <v>2065</v>
      </c>
      <c r="C162" s="20">
        <v>1</v>
      </c>
      <c r="D162" s="18">
        <v>30</v>
      </c>
      <c r="E162" s="18">
        <v>75</v>
      </c>
      <c r="F162" s="20">
        <v>1013</v>
      </c>
      <c r="G162" s="17" t="s">
        <v>237</v>
      </c>
      <c r="H162" s="19" t="s">
        <v>57</v>
      </c>
      <c r="I162" s="18">
        <v>20</v>
      </c>
      <c r="J162" s="17" t="s">
        <v>133</v>
      </c>
      <c r="K162" s="17" t="s">
        <v>1480</v>
      </c>
      <c r="L162" s="17"/>
      <c r="M162" s="17"/>
      <c r="N162" s="16" t="str">
        <f>HYPERLINK("http://slimages.macys.com/is/image/MCY/19008722 ")</f>
        <v xml:space="preserve">http://slimages.macys.com/is/image/MCY/19008722 </v>
      </c>
      <c r="O162" s="30"/>
    </row>
    <row r="163" spans="1:15" ht="60" x14ac:dyDescent="0.25">
      <c r="A163" s="19" t="s">
        <v>2064</v>
      </c>
      <c r="B163" s="17" t="s">
        <v>2063</v>
      </c>
      <c r="C163" s="20">
        <v>1</v>
      </c>
      <c r="D163" s="18">
        <v>29.75</v>
      </c>
      <c r="E163" s="18">
        <v>119</v>
      </c>
      <c r="F163" s="20">
        <v>10750976</v>
      </c>
      <c r="G163" s="17" t="s">
        <v>91</v>
      </c>
      <c r="H163" s="19" t="s">
        <v>658</v>
      </c>
      <c r="I163" s="18">
        <v>19.833333333333336</v>
      </c>
      <c r="J163" s="17" t="s">
        <v>144</v>
      </c>
      <c r="K163" s="17" t="s">
        <v>1211</v>
      </c>
      <c r="L163" s="17" t="s">
        <v>389</v>
      </c>
      <c r="M163" s="17" t="s">
        <v>1154</v>
      </c>
      <c r="N163" s="16" t="str">
        <f>HYPERLINK("http://slimages.macys.com/is/image/MCY/16095051 ")</f>
        <v xml:space="preserve">http://slimages.macys.com/is/image/MCY/16095051 </v>
      </c>
      <c r="O163" s="30"/>
    </row>
    <row r="164" spans="1:15" ht="48" x14ac:dyDescent="0.25">
      <c r="A164" s="19" t="s">
        <v>2062</v>
      </c>
      <c r="B164" s="17" t="s">
        <v>2061</v>
      </c>
      <c r="C164" s="20">
        <v>1</v>
      </c>
      <c r="D164" s="18">
        <v>29.7</v>
      </c>
      <c r="E164" s="18">
        <v>99</v>
      </c>
      <c r="F164" s="20">
        <v>10760812</v>
      </c>
      <c r="G164" s="17" t="s">
        <v>23</v>
      </c>
      <c r="H164" s="19" t="s">
        <v>116</v>
      </c>
      <c r="I164" s="18">
        <v>19.8</v>
      </c>
      <c r="J164" s="17" t="s">
        <v>115</v>
      </c>
      <c r="K164" s="17" t="s">
        <v>1265</v>
      </c>
      <c r="L164" s="17"/>
      <c r="M164" s="17"/>
      <c r="N164" s="16" t="str">
        <f>HYPERLINK("http://slimages.macys.com/is/image/MCY/16892803 ")</f>
        <v xml:space="preserve">http://slimages.macys.com/is/image/MCY/16892803 </v>
      </c>
      <c r="O164" s="30"/>
    </row>
    <row r="165" spans="1:15" ht="48" x14ac:dyDescent="0.25">
      <c r="A165" s="19" t="s">
        <v>2060</v>
      </c>
      <c r="B165" s="17" t="s">
        <v>2059</v>
      </c>
      <c r="C165" s="20">
        <v>1</v>
      </c>
      <c r="D165" s="18">
        <v>29.7</v>
      </c>
      <c r="E165" s="18">
        <v>99</v>
      </c>
      <c r="F165" s="20">
        <v>10773568</v>
      </c>
      <c r="G165" s="17" t="s">
        <v>51</v>
      </c>
      <c r="H165" s="19" t="s">
        <v>857</v>
      </c>
      <c r="I165" s="18">
        <v>19.8</v>
      </c>
      <c r="J165" s="17" t="s">
        <v>115</v>
      </c>
      <c r="K165" s="17" t="s">
        <v>1265</v>
      </c>
      <c r="L165" s="17"/>
      <c r="M165" s="17"/>
      <c r="N165" s="16" t="str">
        <f>HYPERLINK("http://slimages.macys.com/is/image/MCY/18650670 ")</f>
        <v xml:space="preserve">http://slimages.macys.com/is/image/MCY/18650670 </v>
      </c>
      <c r="O165" s="30"/>
    </row>
    <row r="166" spans="1:15" ht="48" x14ac:dyDescent="0.25">
      <c r="A166" s="19" t="s">
        <v>2058</v>
      </c>
      <c r="B166" s="17" t="s">
        <v>2057</v>
      </c>
      <c r="C166" s="20">
        <v>1</v>
      </c>
      <c r="D166" s="18">
        <v>29.46</v>
      </c>
      <c r="E166" s="18">
        <v>89</v>
      </c>
      <c r="F166" s="20" t="s">
        <v>2056</v>
      </c>
      <c r="G166" s="17" t="s">
        <v>51</v>
      </c>
      <c r="H166" s="19" t="s">
        <v>101</v>
      </c>
      <c r="I166" s="18">
        <v>19.64</v>
      </c>
      <c r="J166" s="17" t="s">
        <v>49</v>
      </c>
      <c r="K166" s="17" t="s">
        <v>48</v>
      </c>
      <c r="L166" s="17"/>
      <c r="M166" s="17"/>
      <c r="N166" s="16" t="str">
        <f>HYPERLINK("http://slimages.macys.com/is/image/MCY/18901542 ")</f>
        <v xml:space="preserve">http://slimages.macys.com/is/image/MCY/18901542 </v>
      </c>
      <c r="O166" s="30"/>
    </row>
    <row r="167" spans="1:15" ht="48" x14ac:dyDescent="0.25">
      <c r="A167" s="19" t="s">
        <v>2055</v>
      </c>
      <c r="B167" s="17" t="s">
        <v>2054</v>
      </c>
      <c r="C167" s="20">
        <v>5</v>
      </c>
      <c r="D167" s="18">
        <v>29.46</v>
      </c>
      <c r="E167" s="18">
        <v>89</v>
      </c>
      <c r="F167" s="20" t="s">
        <v>2053</v>
      </c>
      <c r="G167" s="17" t="s">
        <v>282</v>
      </c>
      <c r="H167" s="19" t="s">
        <v>17</v>
      </c>
      <c r="I167" s="18">
        <v>19.64</v>
      </c>
      <c r="J167" s="17" t="s">
        <v>49</v>
      </c>
      <c r="K167" s="17" t="s">
        <v>48</v>
      </c>
      <c r="L167" s="17"/>
      <c r="M167" s="17"/>
      <c r="N167" s="16" t="str">
        <f>HYPERLINK("http://slimages.macys.com/is/image/MCY/19352409 ")</f>
        <v xml:space="preserve">http://slimages.macys.com/is/image/MCY/19352409 </v>
      </c>
      <c r="O167" s="30"/>
    </row>
    <row r="168" spans="1:15" ht="48" x14ac:dyDescent="0.25">
      <c r="A168" s="19" t="s">
        <v>2052</v>
      </c>
      <c r="B168" s="17" t="s">
        <v>2051</v>
      </c>
      <c r="C168" s="20">
        <v>1</v>
      </c>
      <c r="D168" s="18">
        <v>29.46</v>
      </c>
      <c r="E168" s="18">
        <v>89</v>
      </c>
      <c r="F168" s="20" t="s">
        <v>2050</v>
      </c>
      <c r="G168" s="17" t="s">
        <v>216</v>
      </c>
      <c r="H168" s="19" t="s">
        <v>50</v>
      </c>
      <c r="I168" s="18">
        <v>19.64</v>
      </c>
      <c r="J168" s="17" t="s">
        <v>49</v>
      </c>
      <c r="K168" s="17" t="s">
        <v>48</v>
      </c>
      <c r="L168" s="17"/>
      <c r="M168" s="17"/>
      <c r="N168" s="16" t="str">
        <f>HYPERLINK("http://slimages.macys.com/is/image/MCY/18603103 ")</f>
        <v xml:space="preserve">http://slimages.macys.com/is/image/MCY/18603103 </v>
      </c>
      <c r="O168" s="30"/>
    </row>
    <row r="169" spans="1:15" ht="60" x14ac:dyDescent="0.25">
      <c r="A169" s="19" t="s">
        <v>2049</v>
      </c>
      <c r="B169" s="17" t="s">
        <v>2048</v>
      </c>
      <c r="C169" s="20">
        <v>1</v>
      </c>
      <c r="D169" s="18">
        <v>28.36</v>
      </c>
      <c r="E169" s="18">
        <v>99.5</v>
      </c>
      <c r="F169" s="20" t="s">
        <v>2047</v>
      </c>
      <c r="G169" s="17" t="s">
        <v>206</v>
      </c>
      <c r="H169" s="19"/>
      <c r="I169" s="18">
        <v>18.906666666666666</v>
      </c>
      <c r="J169" s="17" t="s">
        <v>540</v>
      </c>
      <c r="K169" s="17" t="s">
        <v>105</v>
      </c>
      <c r="L169" s="17"/>
      <c r="M169" s="17"/>
      <c r="N169" s="16" t="str">
        <f>HYPERLINK("http://slimages.macys.com/is/image/MCY/19216291 ")</f>
        <v xml:space="preserve">http://slimages.macys.com/is/image/MCY/19216291 </v>
      </c>
      <c r="O169" s="30"/>
    </row>
    <row r="170" spans="1:15" ht="60" x14ac:dyDescent="0.25">
      <c r="A170" s="19" t="s">
        <v>2046</v>
      </c>
      <c r="B170" s="17" t="s">
        <v>2045</v>
      </c>
      <c r="C170" s="20">
        <v>2</v>
      </c>
      <c r="D170" s="18">
        <v>27.74</v>
      </c>
      <c r="E170" s="18">
        <v>89.5</v>
      </c>
      <c r="F170" s="20" t="s">
        <v>2044</v>
      </c>
      <c r="G170" s="17" t="s">
        <v>51</v>
      </c>
      <c r="H170" s="19" t="s">
        <v>96</v>
      </c>
      <c r="I170" s="18">
        <v>18.493333333333336</v>
      </c>
      <c r="J170" s="17" t="s">
        <v>144</v>
      </c>
      <c r="K170" s="17" t="s">
        <v>2043</v>
      </c>
      <c r="L170" s="17" t="s">
        <v>389</v>
      </c>
      <c r="M170" s="17" t="s">
        <v>1359</v>
      </c>
      <c r="N170" s="16" t="str">
        <f>HYPERLINK("http://slimages.macys.com/is/image/MCY/16481495 ")</f>
        <v xml:space="preserve">http://slimages.macys.com/is/image/MCY/16481495 </v>
      </c>
      <c r="O170" s="30"/>
    </row>
    <row r="171" spans="1:15" ht="48" x14ac:dyDescent="0.25">
      <c r="A171" s="19" t="s">
        <v>2042</v>
      </c>
      <c r="B171" s="17" t="s">
        <v>2041</v>
      </c>
      <c r="C171" s="20">
        <v>1</v>
      </c>
      <c r="D171" s="18">
        <v>27.72</v>
      </c>
      <c r="E171" s="18">
        <v>99</v>
      </c>
      <c r="F171" s="20" t="s">
        <v>1279</v>
      </c>
      <c r="G171" s="17" t="s">
        <v>575</v>
      </c>
      <c r="H171" s="19" t="s">
        <v>749</v>
      </c>
      <c r="I171" s="18">
        <v>18.48</v>
      </c>
      <c r="J171" s="17" t="s">
        <v>820</v>
      </c>
      <c r="K171" s="17" t="s">
        <v>67</v>
      </c>
      <c r="L171" s="17"/>
      <c r="M171" s="17"/>
      <c r="N171" s="16" t="str">
        <f>HYPERLINK("http://slimages.macys.com/is/image/MCY/19686753 ")</f>
        <v xml:space="preserve">http://slimages.macys.com/is/image/MCY/19686753 </v>
      </c>
      <c r="O171" s="30"/>
    </row>
    <row r="172" spans="1:15" ht="48" x14ac:dyDescent="0.25">
      <c r="A172" s="19" t="s">
        <v>2040</v>
      </c>
      <c r="B172" s="17" t="s">
        <v>2039</v>
      </c>
      <c r="C172" s="20">
        <v>1</v>
      </c>
      <c r="D172" s="18">
        <v>27.42</v>
      </c>
      <c r="E172" s="18">
        <v>99</v>
      </c>
      <c r="F172" s="20" t="s">
        <v>2038</v>
      </c>
      <c r="G172" s="17" t="s">
        <v>23</v>
      </c>
      <c r="H172" s="19" t="s">
        <v>62</v>
      </c>
      <c r="I172" s="18">
        <v>18.28</v>
      </c>
      <c r="J172" s="17" t="s">
        <v>405</v>
      </c>
      <c r="K172" s="17" t="s">
        <v>404</v>
      </c>
      <c r="L172" s="17"/>
      <c r="M172" s="17"/>
      <c r="N172" s="16" t="str">
        <f>HYPERLINK("http://slimages.macys.com/is/image/MCY/18223784 ")</f>
        <v xml:space="preserve">http://slimages.macys.com/is/image/MCY/18223784 </v>
      </c>
      <c r="O172" s="30"/>
    </row>
    <row r="173" spans="1:15" ht="60" x14ac:dyDescent="0.25">
      <c r="A173" s="19" t="s">
        <v>2037</v>
      </c>
      <c r="B173" s="17" t="s">
        <v>2036</v>
      </c>
      <c r="C173" s="20">
        <v>1</v>
      </c>
      <c r="D173" s="18">
        <v>27.3</v>
      </c>
      <c r="E173" s="18">
        <v>78</v>
      </c>
      <c r="F173" s="20" t="s">
        <v>2035</v>
      </c>
      <c r="G173" s="17" t="s">
        <v>51</v>
      </c>
      <c r="H173" s="19" t="s">
        <v>62</v>
      </c>
      <c r="I173" s="18">
        <v>18.2</v>
      </c>
      <c r="J173" s="17" t="s">
        <v>133</v>
      </c>
      <c r="K173" s="17" t="s">
        <v>132</v>
      </c>
      <c r="L173" s="17" t="s">
        <v>637</v>
      </c>
      <c r="M173" s="17" t="s">
        <v>2034</v>
      </c>
      <c r="N173" s="16" t="str">
        <f>HYPERLINK("http://images.bloomingdales.com/is/image/BLM/11310784 ")</f>
        <v xml:space="preserve">http://images.bloomingdales.com/is/image/BLM/11310784 </v>
      </c>
      <c r="O173" s="30"/>
    </row>
    <row r="174" spans="1:15" ht="48" x14ac:dyDescent="0.25">
      <c r="A174" s="19" t="s">
        <v>2033</v>
      </c>
      <c r="B174" s="17" t="s">
        <v>2032</v>
      </c>
      <c r="C174" s="20">
        <v>1</v>
      </c>
      <c r="D174" s="18">
        <v>27.25</v>
      </c>
      <c r="E174" s="18">
        <v>109</v>
      </c>
      <c r="F174" s="20">
        <v>10771062</v>
      </c>
      <c r="G174" s="17" t="s">
        <v>390</v>
      </c>
      <c r="H174" s="19" t="s">
        <v>2031</v>
      </c>
      <c r="I174" s="18">
        <v>18.166666666666668</v>
      </c>
      <c r="J174" s="17" t="s">
        <v>1307</v>
      </c>
      <c r="K174" s="17" t="s">
        <v>1306</v>
      </c>
      <c r="L174" s="17" t="s">
        <v>389</v>
      </c>
      <c r="M174" s="17" t="s">
        <v>1359</v>
      </c>
      <c r="N174" s="16" t="str">
        <f>HYPERLINK("http://slimages.macys.com/is/image/MCY/12819095 ")</f>
        <v xml:space="preserve">http://slimages.macys.com/is/image/MCY/12819095 </v>
      </c>
      <c r="O174" s="30"/>
    </row>
    <row r="175" spans="1:15" ht="48" x14ac:dyDescent="0.25">
      <c r="A175" s="19" t="s">
        <v>2030</v>
      </c>
      <c r="B175" s="17" t="s">
        <v>2029</v>
      </c>
      <c r="C175" s="20">
        <v>1</v>
      </c>
      <c r="D175" s="18">
        <v>27</v>
      </c>
      <c r="E175" s="18">
        <v>85</v>
      </c>
      <c r="F175" s="20" t="s">
        <v>2028</v>
      </c>
      <c r="G175" s="17" t="s">
        <v>1382</v>
      </c>
      <c r="H175" s="19" t="s">
        <v>69</v>
      </c>
      <c r="I175" s="18">
        <v>18.000000000000004</v>
      </c>
      <c r="J175" s="17" t="s">
        <v>80</v>
      </c>
      <c r="K175" s="17" t="s">
        <v>531</v>
      </c>
      <c r="L175" s="17"/>
      <c r="M175" s="17"/>
      <c r="N175" s="16" t="str">
        <f>HYPERLINK("http://slimages.macys.com/is/image/MCY/18269864 ")</f>
        <v xml:space="preserve">http://slimages.macys.com/is/image/MCY/18269864 </v>
      </c>
      <c r="O175" s="30"/>
    </row>
    <row r="176" spans="1:15" ht="48" x14ac:dyDescent="0.25">
      <c r="A176" s="19" t="s">
        <v>2027</v>
      </c>
      <c r="B176" s="17" t="s">
        <v>2026</v>
      </c>
      <c r="C176" s="20">
        <v>1</v>
      </c>
      <c r="D176" s="18">
        <v>26.15</v>
      </c>
      <c r="E176" s="18">
        <v>79</v>
      </c>
      <c r="F176" s="20" t="s">
        <v>2020</v>
      </c>
      <c r="G176" s="17" t="s">
        <v>23</v>
      </c>
      <c r="H176" s="19" t="s">
        <v>22</v>
      </c>
      <c r="I176" s="18">
        <v>17.433333333333337</v>
      </c>
      <c r="J176" s="17" t="s">
        <v>49</v>
      </c>
      <c r="K176" s="17" t="s">
        <v>48</v>
      </c>
      <c r="L176" s="17"/>
      <c r="M176" s="17"/>
      <c r="N176" s="16" t="str">
        <f>HYPERLINK("http://slimages.macys.com/is/image/MCY/19352380 ")</f>
        <v xml:space="preserve">http://slimages.macys.com/is/image/MCY/19352380 </v>
      </c>
      <c r="O176" s="30"/>
    </row>
    <row r="177" spans="1:15" ht="48" x14ac:dyDescent="0.25">
      <c r="A177" s="19" t="s">
        <v>2025</v>
      </c>
      <c r="B177" s="17" t="s">
        <v>2024</v>
      </c>
      <c r="C177" s="20">
        <v>1</v>
      </c>
      <c r="D177" s="18">
        <v>26.15</v>
      </c>
      <c r="E177" s="18">
        <v>79</v>
      </c>
      <c r="F177" s="20" t="s">
        <v>2023</v>
      </c>
      <c r="G177" s="17" t="s">
        <v>23</v>
      </c>
      <c r="H177" s="19" t="s">
        <v>101</v>
      </c>
      <c r="I177" s="18">
        <v>17.433333333333337</v>
      </c>
      <c r="J177" s="17" t="s">
        <v>49</v>
      </c>
      <c r="K177" s="17" t="s">
        <v>48</v>
      </c>
      <c r="L177" s="17"/>
      <c r="M177" s="17"/>
      <c r="N177" s="16" t="str">
        <f>HYPERLINK("http://slimages.macys.com/is/image/MCY/19348816 ")</f>
        <v xml:space="preserve">http://slimages.macys.com/is/image/MCY/19348816 </v>
      </c>
      <c r="O177" s="30"/>
    </row>
    <row r="178" spans="1:15" ht="48" x14ac:dyDescent="0.25">
      <c r="A178" s="19" t="s">
        <v>2022</v>
      </c>
      <c r="B178" s="17" t="s">
        <v>2021</v>
      </c>
      <c r="C178" s="20">
        <v>2</v>
      </c>
      <c r="D178" s="18">
        <v>26.15</v>
      </c>
      <c r="E178" s="18">
        <v>79</v>
      </c>
      <c r="F178" s="20" t="s">
        <v>2020</v>
      </c>
      <c r="G178" s="17" t="s">
        <v>23</v>
      </c>
      <c r="H178" s="19" t="s">
        <v>62</v>
      </c>
      <c r="I178" s="18">
        <v>17.433333333333337</v>
      </c>
      <c r="J178" s="17" t="s">
        <v>49</v>
      </c>
      <c r="K178" s="17" t="s">
        <v>48</v>
      </c>
      <c r="L178" s="17"/>
      <c r="M178" s="17"/>
      <c r="N178" s="16" t="str">
        <f>HYPERLINK("http://slimages.macys.com/is/image/MCY/19352380 ")</f>
        <v xml:space="preserve">http://slimages.macys.com/is/image/MCY/19352380 </v>
      </c>
      <c r="O178" s="30"/>
    </row>
    <row r="179" spans="1:15" ht="48" x14ac:dyDescent="0.25">
      <c r="A179" s="19" t="s">
        <v>2019</v>
      </c>
      <c r="B179" s="17" t="s">
        <v>2018</v>
      </c>
      <c r="C179" s="20">
        <v>1</v>
      </c>
      <c r="D179" s="18">
        <v>26.15</v>
      </c>
      <c r="E179" s="18">
        <v>79</v>
      </c>
      <c r="F179" s="20" t="s">
        <v>2017</v>
      </c>
      <c r="G179" s="17"/>
      <c r="H179" s="19"/>
      <c r="I179" s="18">
        <v>17.433333333333337</v>
      </c>
      <c r="J179" s="17" t="s">
        <v>49</v>
      </c>
      <c r="K179" s="17" t="s">
        <v>48</v>
      </c>
      <c r="L179" s="17"/>
      <c r="M179" s="17"/>
      <c r="N179" s="16" t="str">
        <f>HYPERLINK("http://slimages.macys.com/is/image/MCY/19287536 ")</f>
        <v xml:space="preserve">http://slimages.macys.com/is/image/MCY/19287536 </v>
      </c>
      <c r="O179" s="30"/>
    </row>
    <row r="180" spans="1:15" ht="48" x14ac:dyDescent="0.25">
      <c r="A180" s="19" t="s">
        <v>2016</v>
      </c>
      <c r="B180" s="17" t="s">
        <v>2015</v>
      </c>
      <c r="C180" s="20">
        <v>1</v>
      </c>
      <c r="D180" s="18">
        <v>26.15</v>
      </c>
      <c r="E180" s="18">
        <v>79</v>
      </c>
      <c r="F180" s="20" t="s">
        <v>2014</v>
      </c>
      <c r="G180" s="17" t="s">
        <v>562</v>
      </c>
      <c r="H180" s="19" t="s">
        <v>17</v>
      </c>
      <c r="I180" s="18">
        <v>17.433333333333337</v>
      </c>
      <c r="J180" s="17" t="s">
        <v>49</v>
      </c>
      <c r="K180" s="17" t="s">
        <v>48</v>
      </c>
      <c r="L180" s="17"/>
      <c r="M180" s="17"/>
      <c r="N180" s="16" t="str">
        <f>HYPERLINK("http://slimages.macys.com/is/image/MCY/18774324 ")</f>
        <v xml:space="preserve">http://slimages.macys.com/is/image/MCY/18774324 </v>
      </c>
      <c r="O180" s="30"/>
    </row>
    <row r="181" spans="1:15" ht="60" x14ac:dyDescent="0.25">
      <c r="A181" s="19" t="s">
        <v>2013</v>
      </c>
      <c r="B181" s="17" t="s">
        <v>2012</v>
      </c>
      <c r="C181" s="20">
        <v>1</v>
      </c>
      <c r="D181" s="18">
        <v>25.51</v>
      </c>
      <c r="E181" s="18">
        <v>89.5</v>
      </c>
      <c r="F181" s="20" t="s">
        <v>2011</v>
      </c>
      <c r="G181" s="17" t="s">
        <v>1382</v>
      </c>
      <c r="H181" s="19" t="s">
        <v>139</v>
      </c>
      <c r="I181" s="18">
        <v>17.006666666666668</v>
      </c>
      <c r="J181" s="17" t="s">
        <v>540</v>
      </c>
      <c r="K181" s="17" t="s">
        <v>105</v>
      </c>
      <c r="L181" s="17"/>
      <c r="M181" s="17"/>
      <c r="N181" s="16" t="str">
        <f>HYPERLINK("http://slimages.macys.com/is/image/MCY/19397717 ")</f>
        <v xml:space="preserve">http://slimages.macys.com/is/image/MCY/19397717 </v>
      </c>
      <c r="O181" s="30"/>
    </row>
    <row r="182" spans="1:15" ht="48" x14ac:dyDescent="0.25">
      <c r="A182" s="19" t="s">
        <v>2010</v>
      </c>
      <c r="B182" s="17" t="s">
        <v>2009</v>
      </c>
      <c r="C182" s="20">
        <v>10</v>
      </c>
      <c r="D182" s="18">
        <v>25.25</v>
      </c>
      <c r="E182" s="18">
        <v>79.5</v>
      </c>
      <c r="F182" s="20" t="s">
        <v>590</v>
      </c>
      <c r="G182" s="17" t="s">
        <v>51</v>
      </c>
      <c r="H182" s="19" t="s">
        <v>57</v>
      </c>
      <c r="I182" s="18">
        <v>16.833333333333332</v>
      </c>
      <c r="J182" s="17" t="s">
        <v>80</v>
      </c>
      <c r="K182" s="17" t="s">
        <v>531</v>
      </c>
      <c r="L182" s="17"/>
      <c r="M182" s="17"/>
      <c r="N182" s="16" t="str">
        <f>HYPERLINK("http://slimages.macys.com/is/image/MCY/18269800 ")</f>
        <v xml:space="preserve">http://slimages.macys.com/is/image/MCY/18269800 </v>
      </c>
      <c r="O182" s="30"/>
    </row>
    <row r="183" spans="1:15" ht="48" x14ac:dyDescent="0.25">
      <c r="A183" s="19" t="s">
        <v>2008</v>
      </c>
      <c r="B183" s="17" t="s">
        <v>2007</v>
      </c>
      <c r="C183" s="20">
        <v>1</v>
      </c>
      <c r="D183" s="18">
        <v>25.25</v>
      </c>
      <c r="E183" s="18">
        <v>79.5</v>
      </c>
      <c r="F183" s="20" t="s">
        <v>590</v>
      </c>
      <c r="G183" s="17" t="s">
        <v>58</v>
      </c>
      <c r="H183" s="19" t="s">
        <v>69</v>
      </c>
      <c r="I183" s="18">
        <v>16.833333333333332</v>
      </c>
      <c r="J183" s="17" t="s">
        <v>80</v>
      </c>
      <c r="K183" s="17" t="s">
        <v>531</v>
      </c>
      <c r="L183" s="17"/>
      <c r="M183" s="17"/>
      <c r="N183" s="16" t="str">
        <f>HYPERLINK("http://slimages.macys.com/is/image/MCY/18269800 ")</f>
        <v xml:space="preserve">http://slimages.macys.com/is/image/MCY/18269800 </v>
      </c>
      <c r="O183" s="30"/>
    </row>
    <row r="184" spans="1:15" ht="48" x14ac:dyDescent="0.25">
      <c r="A184" s="19" t="s">
        <v>2006</v>
      </c>
      <c r="B184" s="17" t="s">
        <v>2005</v>
      </c>
      <c r="C184" s="20">
        <v>1</v>
      </c>
      <c r="D184" s="18">
        <v>24.75</v>
      </c>
      <c r="E184" s="18">
        <v>99</v>
      </c>
      <c r="F184" s="20" t="s">
        <v>2004</v>
      </c>
      <c r="G184" s="17" t="s">
        <v>23</v>
      </c>
      <c r="H184" s="19" t="s">
        <v>898</v>
      </c>
      <c r="I184" s="18">
        <v>16.5</v>
      </c>
      <c r="J184" s="17" t="s">
        <v>129</v>
      </c>
      <c r="K184" s="17" t="s">
        <v>128</v>
      </c>
      <c r="L184" s="17"/>
      <c r="M184" s="17"/>
      <c r="N184" s="16" t="str">
        <f>HYPERLINK("http://slimages.macys.com/is/image/MCY/19194171 ")</f>
        <v xml:space="preserve">http://slimages.macys.com/is/image/MCY/19194171 </v>
      </c>
      <c r="O184" s="30"/>
    </row>
    <row r="185" spans="1:15" ht="60" x14ac:dyDescent="0.25">
      <c r="A185" s="19" t="s">
        <v>2003</v>
      </c>
      <c r="B185" s="17" t="s">
        <v>2002</v>
      </c>
      <c r="C185" s="20">
        <v>1</v>
      </c>
      <c r="D185" s="18">
        <v>24.75</v>
      </c>
      <c r="E185" s="18">
        <v>99</v>
      </c>
      <c r="F185" s="20" t="s">
        <v>2001</v>
      </c>
      <c r="G185" s="17"/>
      <c r="H185" s="19" t="s">
        <v>682</v>
      </c>
      <c r="I185" s="18">
        <v>16.5</v>
      </c>
      <c r="J185" s="17" t="s">
        <v>129</v>
      </c>
      <c r="K185" s="17" t="s">
        <v>128</v>
      </c>
      <c r="L185" s="17" t="s">
        <v>637</v>
      </c>
      <c r="M185" s="17" t="s">
        <v>2000</v>
      </c>
      <c r="N185" s="16" t="str">
        <f>HYPERLINK("http://images.bloomingdales.com/is/image/BLM/11557314 ")</f>
        <v xml:space="preserve">http://images.bloomingdales.com/is/image/BLM/11557314 </v>
      </c>
      <c r="O185" s="30"/>
    </row>
    <row r="186" spans="1:15" ht="48" x14ac:dyDescent="0.25">
      <c r="A186" s="19" t="s">
        <v>1999</v>
      </c>
      <c r="B186" s="17" t="s">
        <v>1998</v>
      </c>
      <c r="C186" s="20">
        <v>1</v>
      </c>
      <c r="D186" s="18">
        <v>24.65</v>
      </c>
      <c r="E186" s="18">
        <v>89</v>
      </c>
      <c r="F186" s="20" t="s">
        <v>1997</v>
      </c>
      <c r="G186" s="17" t="s">
        <v>140</v>
      </c>
      <c r="H186" s="19" t="s">
        <v>57</v>
      </c>
      <c r="I186" s="18">
        <v>16.433333333333334</v>
      </c>
      <c r="J186" s="17" t="s">
        <v>405</v>
      </c>
      <c r="K186" s="17" t="s">
        <v>404</v>
      </c>
      <c r="L186" s="17"/>
      <c r="M186" s="17"/>
      <c r="N186" s="16" t="str">
        <f>HYPERLINK("http://slimages.macys.com/is/image/MCY/19026080 ")</f>
        <v xml:space="preserve">http://slimages.macys.com/is/image/MCY/19026080 </v>
      </c>
      <c r="O186" s="30"/>
    </row>
    <row r="187" spans="1:15" ht="48" x14ac:dyDescent="0.25">
      <c r="A187" s="19" t="s">
        <v>561</v>
      </c>
      <c r="B187" s="17" t="s">
        <v>560</v>
      </c>
      <c r="C187" s="20">
        <v>4</v>
      </c>
      <c r="D187" s="18">
        <v>24</v>
      </c>
      <c r="E187" s="18">
        <v>75</v>
      </c>
      <c r="F187" s="20" t="s">
        <v>559</v>
      </c>
      <c r="G187" s="17" t="s">
        <v>558</v>
      </c>
      <c r="H187" s="19" t="s">
        <v>74</v>
      </c>
      <c r="I187" s="18">
        <v>16</v>
      </c>
      <c r="J187" s="17" t="s">
        <v>80</v>
      </c>
      <c r="K187" s="17" t="s">
        <v>531</v>
      </c>
      <c r="L187" s="17"/>
      <c r="M187" s="17"/>
      <c r="N187" s="16" t="str">
        <f>HYPERLINK("http://slimages.macys.com/is/image/MCY/18371419 ")</f>
        <v xml:space="preserve">http://slimages.macys.com/is/image/MCY/18371419 </v>
      </c>
      <c r="O187" s="30"/>
    </row>
    <row r="188" spans="1:15" ht="48" x14ac:dyDescent="0.25">
      <c r="A188" s="19" t="s">
        <v>1996</v>
      </c>
      <c r="B188" s="17" t="s">
        <v>1995</v>
      </c>
      <c r="C188" s="20">
        <v>1</v>
      </c>
      <c r="D188" s="18">
        <v>24</v>
      </c>
      <c r="E188" s="18">
        <v>75</v>
      </c>
      <c r="F188" s="20" t="s">
        <v>559</v>
      </c>
      <c r="G188" s="17" t="s">
        <v>558</v>
      </c>
      <c r="H188" s="19" t="s">
        <v>69</v>
      </c>
      <c r="I188" s="18">
        <v>16</v>
      </c>
      <c r="J188" s="17" t="s">
        <v>80</v>
      </c>
      <c r="K188" s="17" t="s">
        <v>531</v>
      </c>
      <c r="L188" s="17"/>
      <c r="M188" s="17"/>
      <c r="N188" s="16" t="str">
        <f>HYPERLINK("http://slimages.macys.com/is/image/MCY/18371419 ")</f>
        <v xml:space="preserve">http://slimages.macys.com/is/image/MCY/18371419 </v>
      </c>
      <c r="O188" s="30"/>
    </row>
    <row r="189" spans="1:15" ht="48" x14ac:dyDescent="0.25">
      <c r="A189" s="19" t="s">
        <v>1994</v>
      </c>
      <c r="B189" s="17" t="s">
        <v>1993</v>
      </c>
      <c r="C189" s="20">
        <v>1</v>
      </c>
      <c r="D189" s="18">
        <v>24</v>
      </c>
      <c r="E189" s="18">
        <v>75</v>
      </c>
      <c r="F189" s="20" t="s">
        <v>1241</v>
      </c>
      <c r="G189" s="17" t="s">
        <v>51</v>
      </c>
      <c r="H189" s="19" t="s">
        <v>74</v>
      </c>
      <c r="I189" s="18">
        <v>16</v>
      </c>
      <c r="J189" s="17" t="s">
        <v>80</v>
      </c>
      <c r="K189" s="17" t="s">
        <v>531</v>
      </c>
      <c r="L189" s="17"/>
      <c r="M189" s="17"/>
      <c r="N189" s="16" t="str">
        <f>HYPERLINK("http://slimages.macys.com/is/image/MCY/18269796 ")</f>
        <v xml:space="preserve">http://slimages.macys.com/is/image/MCY/18269796 </v>
      </c>
      <c r="O189" s="30"/>
    </row>
    <row r="190" spans="1:15" ht="48" x14ac:dyDescent="0.25">
      <c r="A190" s="19" t="s">
        <v>1992</v>
      </c>
      <c r="B190" s="17" t="s">
        <v>1991</v>
      </c>
      <c r="C190" s="20">
        <v>12</v>
      </c>
      <c r="D190" s="18">
        <v>24</v>
      </c>
      <c r="E190" s="18">
        <v>75</v>
      </c>
      <c r="F190" s="20" t="s">
        <v>1241</v>
      </c>
      <c r="G190" s="17" t="s">
        <v>51</v>
      </c>
      <c r="H190" s="19" t="s">
        <v>57</v>
      </c>
      <c r="I190" s="18">
        <v>16</v>
      </c>
      <c r="J190" s="17" t="s">
        <v>80</v>
      </c>
      <c r="K190" s="17" t="s">
        <v>531</v>
      </c>
      <c r="L190" s="17"/>
      <c r="M190" s="17"/>
      <c r="N190" s="16" t="str">
        <f>HYPERLINK("http://slimages.macys.com/is/image/MCY/18269796 ")</f>
        <v xml:space="preserve">http://slimages.macys.com/is/image/MCY/18269796 </v>
      </c>
      <c r="O190" s="30"/>
    </row>
    <row r="191" spans="1:15" ht="48" x14ac:dyDescent="0.25">
      <c r="A191" s="19" t="s">
        <v>1990</v>
      </c>
      <c r="B191" s="17" t="s">
        <v>1989</v>
      </c>
      <c r="C191" s="20">
        <v>1</v>
      </c>
      <c r="D191" s="18">
        <v>23.69</v>
      </c>
      <c r="E191" s="18">
        <v>99</v>
      </c>
      <c r="F191" s="20">
        <v>2350506</v>
      </c>
      <c r="G191" s="17" t="s">
        <v>380</v>
      </c>
      <c r="H191" s="19" t="s">
        <v>62</v>
      </c>
      <c r="I191" s="18">
        <v>15.793333333333335</v>
      </c>
      <c r="J191" s="17" t="s">
        <v>80</v>
      </c>
      <c r="K191" s="17" t="s">
        <v>293</v>
      </c>
      <c r="L191" s="17"/>
      <c r="M191" s="17"/>
      <c r="N191" s="16" t="str">
        <f>HYPERLINK("http://slimages.macys.com/is/image/MCY/17698124 ")</f>
        <v xml:space="preserve">http://slimages.macys.com/is/image/MCY/17698124 </v>
      </c>
      <c r="O191" s="30"/>
    </row>
    <row r="192" spans="1:15" ht="48" x14ac:dyDescent="0.25">
      <c r="A192" s="19" t="s">
        <v>1988</v>
      </c>
      <c r="B192" s="17" t="s">
        <v>1987</v>
      </c>
      <c r="C192" s="20">
        <v>1</v>
      </c>
      <c r="D192" s="18">
        <v>23.5</v>
      </c>
      <c r="E192" s="18">
        <v>79</v>
      </c>
      <c r="F192" s="20" t="s">
        <v>1986</v>
      </c>
      <c r="G192" s="17" t="s">
        <v>216</v>
      </c>
      <c r="H192" s="19" t="s">
        <v>1445</v>
      </c>
      <c r="I192" s="18">
        <v>15.666666666666668</v>
      </c>
      <c r="J192" s="17" t="s">
        <v>550</v>
      </c>
      <c r="K192" s="17" t="s">
        <v>1448</v>
      </c>
      <c r="L192" s="17"/>
      <c r="M192" s="17"/>
      <c r="N192" s="16" t="str">
        <f>HYPERLINK("http://slimages.macys.com/is/image/MCY/18272380 ")</f>
        <v xml:space="preserve">http://slimages.macys.com/is/image/MCY/18272380 </v>
      </c>
      <c r="O192" s="30"/>
    </row>
    <row r="193" spans="1:15" ht="48" x14ac:dyDescent="0.25">
      <c r="A193" s="19" t="s">
        <v>1985</v>
      </c>
      <c r="B193" s="17" t="s">
        <v>1984</v>
      </c>
      <c r="C193" s="20">
        <v>1</v>
      </c>
      <c r="D193" s="18">
        <v>23.23</v>
      </c>
      <c r="E193" s="18">
        <v>79</v>
      </c>
      <c r="F193" s="20" t="s">
        <v>1983</v>
      </c>
      <c r="G193" s="17" t="s">
        <v>58</v>
      </c>
      <c r="H193" s="19" t="s">
        <v>43</v>
      </c>
      <c r="I193" s="18">
        <v>15.486666666666666</v>
      </c>
      <c r="J193" s="17" t="s">
        <v>492</v>
      </c>
      <c r="K193" s="17" t="s">
        <v>491</v>
      </c>
      <c r="L193" s="17"/>
      <c r="M193" s="17"/>
      <c r="N193" s="16" t="str">
        <f>HYPERLINK("http://slimages.macys.com/is/image/MCY/18188032 ")</f>
        <v xml:space="preserve">http://slimages.macys.com/is/image/MCY/18188032 </v>
      </c>
      <c r="O193" s="30"/>
    </row>
    <row r="194" spans="1:15" ht="48" x14ac:dyDescent="0.25">
      <c r="A194" s="19" t="s">
        <v>1982</v>
      </c>
      <c r="B194" s="17" t="s">
        <v>1981</v>
      </c>
      <c r="C194" s="20">
        <v>1</v>
      </c>
      <c r="D194" s="18">
        <v>22.94</v>
      </c>
      <c r="E194" s="18">
        <v>69.5</v>
      </c>
      <c r="F194" s="20" t="s">
        <v>1980</v>
      </c>
      <c r="G194" s="17" t="s">
        <v>544</v>
      </c>
      <c r="H194" s="19" t="s">
        <v>69</v>
      </c>
      <c r="I194" s="18">
        <v>15.293333333333335</v>
      </c>
      <c r="J194" s="17" t="s">
        <v>654</v>
      </c>
      <c r="K194" s="17" t="s">
        <v>653</v>
      </c>
      <c r="L194" s="17"/>
      <c r="M194" s="17"/>
      <c r="N194" s="16" t="str">
        <f>HYPERLINK("http://slimages.macys.com/is/image/MCY/18705240 ")</f>
        <v xml:space="preserve">http://slimages.macys.com/is/image/MCY/18705240 </v>
      </c>
      <c r="O194" s="30"/>
    </row>
    <row r="195" spans="1:15" ht="48" x14ac:dyDescent="0.25">
      <c r="A195" s="19" t="s">
        <v>1979</v>
      </c>
      <c r="B195" s="17" t="s">
        <v>1978</v>
      </c>
      <c r="C195" s="20">
        <v>1</v>
      </c>
      <c r="D195" s="18">
        <v>22.94</v>
      </c>
      <c r="E195" s="18">
        <v>69.5</v>
      </c>
      <c r="F195" s="20" t="s">
        <v>1977</v>
      </c>
      <c r="G195" s="17" t="s">
        <v>544</v>
      </c>
      <c r="H195" s="19" t="s">
        <v>74</v>
      </c>
      <c r="I195" s="18">
        <v>15.293333333333335</v>
      </c>
      <c r="J195" s="17" t="s">
        <v>654</v>
      </c>
      <c r="K195" s="17" t="s">
        <v>653</v>
      </c>
      <c r="L195" s="17"/>
      <c r="M195" s="17"/>
      <c r="N195" s="16" t="str">
        <f>HYPERLINK("http://slimages.macys.com/is/image/MCY/18839511 ")</f>
        <v xml:space="preserve">http://slimages.macys.com/is/image/MCY/18839511 </v>
      </c>
      <c r="O195" s="30"/>
    </row>
    <row r="196" spans="1:15" ht="48" x14ac:dyDescent="0.25">
      <c r="A196" s="19" t="s">
        <v>1976</v>
      </c>
      <c r="B196" s="17" t="s">
        <v>1975</v>
      </c>
      <c r="C196" s="20">
        <v>2</v>
      </c>
      <c r="D196" s="18">
        <v>22.84</v>
      </c>
      <c r="E196" s="18">
        <v>69</v>
      </c>
      <c r="F196" s="20" t="s">
        <v>1974</v>
      </c>
      <c r="G196" s="17" t="s">
        <v>345</v>
      </c>
      <c r="H196" s="19" t="s">
        <v>62</v>
      </c>
      <c r="I196" s="18">
        <v>15.226666666666667</v>
      </c>
      <c r="J196" s="17" t="s">
        <v>49</v>
      </c>
      <c r="K196" s="17" t="s">
        <v>48</v>
      </c>
      <c r="L196" s="17"/>
      <c r="M196" s="17"/>
      <c r="N196" s="16" t="str">
        <f>HYPERLINK("http://slimages.macys.com/is/image/MCY/18510333 ")</f>
        <v xml:space="preserve">http://slimages.macys.com/is/image/MCY/18510333 </v>
      </c>
      <c r="O196" s="30"/>
    </row>
    <row r="197" spans="1:15" ht="60" x14ac:dyDescent="0.25">
      <c r="A197" s="19" t="s">
        <v>1973</v>
      </c>
      <c r="B197" s="17" t="s">
        <v>1972</v>
      </c>
      <c r="C197" s="20">
        <v>1</v>
      </c>
      <c r="D197" s="18">
        <v>22.66</v>
      </c>
      <c r="E197" s="18">
        <v>79.5</v>
      </c>
      <c r="F197" s="20" t="s">
        <v>1971</v>
      </c>
      <c r="G197" s="17" t="s">
        <v>91</v>
      </c>
      <c r="H197" s="19" t="s">
        <v>139</v>
      </c>
      <c r="I197" s="18">
        <v>15.106666666666667</v>
      </c>
      <c r="J197" s="17" t="s">
        <v>540</v>
      </c>
      <c r="K197" s="17" t="s">
        <v>105</v>
      </c>
      <c r="L197" s="17"/>
      <c r="M197" s="17"/>
      <c r="N197" s="16" t="str">
        <f>HYPERLINK("http://slimages.macys.com/is/image/MCY/18889507 ")</f>
        <v xml:space="preserve">http://slimages.macys.com/is/image/MCY/18889507 </v>
      </c>
      <c r="O197" s="30"/>
    </row>
    <row r="198" spans="1:15" ht="72" x14ac:dyDescent="0.25">
      <c r="A198" s="19" t="s">
        <v>1970</v>
      </c>
      <c r="B198" s="17" t="s">
        <v>1969</v>
      </c>
      <c r="C198" s="20">
        <v>1</v>
      </c>
      <c r="D198" s="18">
        <v>22.4</v>
      </c>
      <c r="E198" s="18">
        <v>59.25</v>
      </c>
      <c r="F198" s="20">
        <v>10695243</v>
      </c>
      <c r="G198" s="17" t="s">
        <v>726</v>
      </c>
      <c r="H198" s="19" t="s">
        <v>1968</v>
      </c>
      <c r="I198" s="18">
        <v>14.933333333333335</v>
      </c>
      <c r="J198" s="17" t="s">
        <v>33</v>
      </c>
      <c r="K198" s="17" t="s">
        <v>143</v>
      </c>
      <c r="L198" s="17" t="s">
        <v>389</v>
      </c>
      <c r="M198" s="17" t="s">
        <v>1967</v>
      </c>
      <c r="N198" s="16" t="str">
        <f>HYPERLINK("http://slimages.macys.com/is/image/MCY/9875500 ")</f>
        <v xml:space="preserve">http://slimages.macys.com/is/image/MCY/9875500 </v>
      </c>
      <c r="O198" s="30"/>
    </row>
    <row r="199" spans="1:15" ht="48" x14ac:dyDescent="0.25">
      <c r="A199" s="19" t="s">
        <v>1966</v>
      </c>
      <c r="B199" s="17" t="s">
        <v>1965</v>
      </c>
      <c r="C199" s="20">
        <v>2</v>
      </c>
      <c r="D199" s="18">
        <v>22.38</v>
      </c>
      <c r="E199" s="18">
        <v>60</v>
      </c>
      <c r="F199" s="20" t="s">
        <v>1958</v>
      </c>
      <c r="G199" s="17" t="s">
        <v>51</v>
      </c>
      <c r="H199" s="19" t="s">
        <v>22</v>
      </c>
      <c r="I199" s="18">
        <v>14.92</v>
      </c>
      <c r="J199" s="17" t="s">
        <v>16</v>
      </c>
      <c r="K199" s="17" t="s">
        <v>15</v>
      </c>
      <c r="L199" s="17"/>
      <c r="M199" s="17"/>
      <c r="N199" s="16" t="str">
        <f>HYPERLINK("http://slimages.macys.com/is/image/MCY/19546761 ")</f>
        <v xml:space="preserve">http://slimages.macys.com/is/image/MCY/19546761 </v>
      </c>
      <c r="O199" s="30"/>
    </row>
    <row r="200" spans="1:15" ht="48" x14ac:dyDescent="0.25">
      <c r="A200" s="19" t="s">
        <v>1964</v>
      </c>
      <c r="B200" s="17" t="s">
        <v>1963</v>
      </c>
      <c r="C200" s="20">
        <v>3</v>
      </c>
      <c r="D200" s="18">
        <v>22.38</v>
      </c>
      <c r="E200" s="18">
        <v>60</v>
      </c>
      <c r="F200" s="20" t="s">
        <v>1958</v>
      </c>
      <c r="G200" s="17" t="s">
        <v>51</v>
      </c>
      <c r="H200" s="19" t="s">
        <v>62</v>
      </c>
      <c r="I200" s="18">
        <v>14.92</v>
      </c>
      <c r="J200" s="17" t="s">
        <v>16</v>
      </c>
      <c r="K200" s="17" t="s">
        <v>15</v>
      </c>
      <c r="L200" s="17"/>
      <c r="M200" s="17"/>
      <c r="N200" s="16" t="str">
        <f>HYPERLINK("http://slimages.macys.com/is/image/MCY/19546761 ")</f>
        <v xml:space="preserve">http://slimages.macys.com/is/image/MCY/19546761 </v>
      </c>
      <c r="O200" s="30"/>
    </row>
    <row r="201" spans="1:15" ht="48" x14ac:dyDescent="0.25">
      <c r="A201" s="19" t="s">
        <v>1962</v>
      </c>
      <c r="B201" s="17" t="s">
        <v>1961</v>
      </c>
      <c r="C201" s="20">
        <v>3</v>
      </c>
      <c r="D201" s="18">
        <v>22.38</v>
      </c>
      <c r="E201" s="18">
        <v>60</v>
      </c>
      <c r="F201" s="20" t="s">
        <v>1958</v>
      </c>
      <c r="G201" s="17" t="s">
        <v>51</v>
      </c>
      <c r="H201" s="19" t="s">
        <v>101</v>
      </c>
      <c r="I201" s="18">
        <v>14.92</v>
      </c>
      <c r="J201" s="17" t="s">
        <v>16</v>
      </c>
      <c r="K201" s="17" t="s">
        <v>15</v>
      </c>
      <c r="L201" s="17"/>
      <c r="M201" s="17"/>
      <c r="N201" s="16" t="str">
        <f>HYPERLINK("http://slimages.macys.com/is/image/MCY/19546761 ")</f>
        <v xml:space="preserve">http://slimages.macys.com/is/image/MCY/19546761 </v>
      </c>
      <c r="O201" s="30"/>
    </row>
    <row r="202" spans="1:15" ht="48" x14ac:dyDescent="0.25">
      <c r="A202" s="19" t="s">
        <v>1960</v>
      </c>
      <c r="B202" s="17" t="s">
        <v>1959</v>
      </c>
      <c r="C202" s="20">
        <v>1</v>
      </c>
      <c r="D202" s="18">
        <v>22.38</v>
      </c>
      <c r="E202" s="18">
        <v>60</v>
      </c>
      <c r="F202" s="20" t="s">
        <v>1958</v>
      </c>
      <c r="G202" s="17" t="s">
        <v>51</v>
      </c>
      <c r="H202" s="19" t="s">
        <v>27</v>
      </c>
      <c r="I202" s="18">
        <v>14.92</v>
      </c>
      <c r="J202" s="17" t="s">
        <v>16</v>
      </c>
      <c r="K202" s="17" t="s">
        <v>15</v>
      </c>
      <c r="L202" s="17"/>
      <c r="M202" s="17"/>
      <c r="N202" s="16" t="str">
        <f>HYPERLINK("http://slimages.macys.com/is/image/MCY/19546761 ")</f>
        <v xml:space="preserve">http://slimages.macys.com/is/image/MCY/19546761 </v>
      </c>
      <c r="O202" s="30"/>
    </row>
    <row r="203" spans="1:15" ht="72" x14ac:dyDescent="0.25">
      <c r="A203" s="19" t="s">
        <v>1957</v>
      </c>
      <c r="B203" s="17" t="s">
        <v>1956</v>
      </c>
      <c r="C203" s="20">
        <v>1</v>
      </c>
      <c r="D203" s="18">
        <v>22.25</v>
      </c>
      <c r="E203" s="18">
        <v>89</v>
      </c>
      <c r="F203" s="20">
        <v>10471479</v>
      </c>
      <c r="G203" s="17" t="s">
        <v>164</v>
      </c>
      <c r="H203" s="19" t="s">
        <v>96</v>
      </c>
      <c r="I203" s="18">
        <v>14.833333333333334</v>
      </c>
      <c r="J203" s="17" t="s">
        <v>144</v>
      </c>
      <c r="K203" s="17" t="s">
        <v>1211</v>
      </c>
      <c r="L203" s="17" t="s">
        <v>389</v>
      </c>
      <c r="M203" s="17" t="s">
        <v>1322</v>
      </c>
      <c r="N203" s="16" t="str">
        <f>HYPERLINK("http://slimages.macys.com/is/image/MCY/8195429 ")</f>
        <v xml:space="preserve">http://slimages.macys.com/is/image/MCY/8195429 </v>
      </c>
      <c r="O203" s="30"/>
    </row>
    <row r="204" spans="1:15" ht="48" x14ac:dyDescent="0.25">
      <c r="A204" s="19" t="s">
        <v>1955</v>
      </c>
      <c r="B204" s="17" t="s">
        <v>1954</v>
      </c>
      <c r="C204" s="20">
        <v>2</v>
      </c>
      <c r="D204" s="18">
        <v>22.25</v>
      </c>
      <c r="E204" s="18">
        <v>89</v>
      </c>
      <c r="F204" s="20">
        <v>8150639</v>
      </c>
      <c r="G204" s="17" t="s">
        <v>508</v>
      </c>
      <c r="H204" s="19" t="s">
        <v>62</v>
      </c>
      <c r="I204" s="18">
        <v>14.833333333333334</v>
      </c>
      <c r="J204" s="17" t="s">
        <v>129</v>
      </c>
      <c r="K204" s="17" t="s">
        <v>128</v>
      </c>
      <c r="L204" s="17"/>
      <c r="M204" s="17"/>
      <c r="N204" s="16" t="str">
        <f>HYPERLINK("http://slimages.macys.com/is/image/MCY/18254950 ")</f>
        <v xml:space="preserve">http://slimages.macys.com/is/image/MCY/18254950 </v>
      </c>
      <c r="O204" s="30"/>
    </row>
    <row r="205" spans="1:15" ht="48" x14ac:dyDescent="0.25">
      <c r="A205" s="19" t="s">
        <v>1953</v>
      </c>
      <c r="B205" s="17" t="s">
        <v>1952</v>
      </c>
      <c r="C205" s="20">
        <v>1</v>
      </c>
      <c r="D205" s="18">
        <v>22.12</v>
      </c>
      <c r="E205" s="18">
        <v>79</v>
      </c>
      <c r="F205" s="20" t="s">
        <v>1951</v>
      </c>
      <c r="G205" s="17" t="s">
        <v>734</v>
      </c>
      <c r="H205" s="19" t="s">
        <v>658</v>
      </c>
      <c r="I205" s="18">
        <v>14.746666666666668</v>
      </c>
      <c r="J205" s="17" t="s">
        <v>820</v>
      </c>
      <c r="K205" s="17" t="s">
        <v>67</v>
      </c>
      <c r="L205" s="17"/>
      <c r="M205" s="17"/>
      <c r="N205" s="16" t="str">
        <f>HYPERLINK("http://slimages.macys.com/is/image/MCY/19908087 ")</f>
        <v xml:space="preserve">http://slimages.macys.com/is/image/MCY/19908087 </v>
      </c>
      <c r="O205" s="30"/>
    </row>
    <row r="206" spans="1:15" ht="48" x14ac:dyDescent="0.25">
      <c r="A206" s="19" t="s">
        <v>1208</v>
      </c>
      <c r="B206" s="17" t="s">
        <v>1207</v>
      </c>
      <c r="C206" s="20">
        <v>1</v>
      </c>
      <c r="D206" s="18">
        <v>22</v>
      </c>
      <c r="E206" s="18">
        <v>65</v>
      </c>
      <c r="F206" s="20" t="s">
        <v>1199</v>
      </c>
      <c r="G206" s="17" t="s">
        <v>28</v>
      </c>
      <c r="H206" s="19" t="s">
        <v>62</v>
      </c>
      <c r="I206" s="18">
        <v>14.666666666666668</v>
      </c>
      <c r="J206" s="17" t="s">
        <v>133</v>
      </c>
      <c r="K206" s="17" t="s">
        <v>833</v>
      </c>
      <c r="L206" s="17"/>
      <c r="M206" s="17"/>
      <c r="N206" s="16" t="str">
        <f>HYPERLINK("http://slimages.macys.com/is/image/MCY/19305730 ")</f>
        <v xml:space="preserve">http://slimages.macys.com/is/image/MCY/19305730 </v>
      </c>
      <c r="O206" s="30"/>
    </row>
    <row r="207" spans="1:15" ht="48" x14ac:dyDescent="0.25">
      <c r="A207" s="19" t="s">
        <v>1950</v>
      </c>
      <c r="B207" s="17" t="s">
        <v>1949</v>
      </c>
      <c r="C207" s="20">
        <v>4</v>
      </c>
      <c r="D207" s="18">
        <v>22</v>
      </c>
      <c r="E207" s="18">
        <v>65</v>
      </c>
      <c r="F207" s="20" t="s">
        <v>1204</v>
      </c>
      <c r="G207" s="17" t="s">
        <v>206</v>
      </c>
      <c r="H207" s="19" t="s">
        <v>57</v>
      </c>
      <c r="I207" s="18">
        <v>14.666666666666668</v>
      </c>
      <c r="J207" s="17" t="s">
        <v>133</v>
      </c>
      <c r="K207" s="17" t="s">
        <v>833</v>
      </c>
      <c r="L207" s="17"/>
      <c r="M207" s="17"/>
      <c r="N207" s="16" t="str">
        <f>HYPERLINK("http://slimages.macys.com/is/image/MCY/19305671 ")</f>
        <v xml:space="preserve">http://slimages.macys.com/is/image/MCY/19305671 </v>
      </c>
      <c r="O207" s="30"/>
    </row>
    <row r="208" spans="1:15" ht="144" x14ac:dyDescent="0.25">
      <c r="A208" s="19" t="s">
        <v>1948</v>
      </c>
      <c r="B208" s="17" t="s">
        <v>1947</v>
      </c>
      <c r="C208" s="20">
        <v>1</v>
      </c>
      <c r="D208" s="18">
        <v>21.88</v>
      </c>
      <c r="E208" s="18">
        <v>79</v>
      </c>
      <c r="F208" s="20" t="s">
        <v>1946</v>
      </c>
      <c r="G208" s="17" t="s">
        <v>237</v>
      </c>
      <c r="H208" s="19" t="s">
        <v>197</v>
      </c>
      <c r="I208" s="18">
        <v>14.586666666666668</v>
      </c>
      <c r="J208" s="17" t="s">
        <v>405</v>
      </c>
      <c r="K208" s="17" t="s">
        <v>404</v>
      </c>
      <c r="L208" s="17" t="s">
        <v>1945</v>
      </c>
      <c r="M208" s="17" t="s">
        <v>1944</v>
      </c>
      <c r="N208" s="16" t="str">
        <f>HYPERLINK("http://images.bloomingdales.com/is/image/BLM/11485959 ")</f>
        <v xml:space="preserve">http://images.bloomingdales.com/is/image/BLM/11485959 </v>
      </c>
      <c r="O208" s="30"/>
    </row>
    <row r="209" spans="1:15" ht="48" x14ac:dyDescent="0.25">
      <c r="A209" s="19" t="s">
        <v>1943</v>
      </c>
      <c r="B209" s="17" t="s">
        <v>1942</v>
      </c>
      <c r="C209" s="20">
        <v>1</v>
      </c>
      <c r="D209" s="18">
        <v>21.39</v>
      </c>
      <c r="E209" s="18">
        <v>69</v>
      </c>
      <c r="F209" s="20">
        <v>10763860</v>
      </c>
      <c r="G209" s="17" t="s">
        <v>23</v>
      </c>
      <c r="H209" s="19" t="s">
        <v>658</v>
      </c>
      <c r="I209" s="18">
        <v>14.26</v>
      </c>
      <c r="J209" s="17" t="s">
        <v>144</v>
      </c>
      <c r="K209" s="17" t="s">
        <v>143</v>
      </c>
      <c r="L209" s="17"/>
      <c r="M209" s="17"/>
      <c r="N209" s="16" t="str">
        <f>HYPERLINK("http://slimages.macys.com/is/image/MCY/18301576 ")</f>
        <v xml:space="preserve">http://slimages.macys.com/is/image/MCY/18301576 </v>
      </c>
      <c r="O209" s="30"/>
    </row>
    <row r="210" spans="1:15" ht="60" x14ac:dyDescent="0.25">
      <c r="A210" s="19" t="s">
        <v>1941</v>
      </c>
      <c r="B210" s="17" t="s">
        <v>1940</v>
      </c>
      <c r="C210" s="20">
        <v>1</v>
      </c>
      <c r="D210" s="18">
        <v>20.7</v>
      </c>
      <c r="E210" s="18">
        <v>69</v>
      </c>
      <c r="F210" s="20" t="s">
        <v>1939</v>
      </c>
      <c r="G210" s="17" t="s">
        <v>51</v>
      </c>
      <c r="H210" s="19" t="s">
        <v>857</v>
      </c>
      <c r="I210" s="18">
        <v>13.799999999999999</v>
      </c>
      <c r="J210" s="17" t="s">
        <v>144</v>
      </c>
      <c r="K210" s="17" t="s">
        <v>496</v>
      </c>
      <c r="L210" s="17" t="s">
        <v>389</v>
      </c>
      <c r="M210" s="17" t="s">
        <v>548</v>
      </c>
      <c r="N210" s="16" t="str">
        <f>HYPERLINK("http://slimages.macys.com/is/image/MCY/3006686 ")</f>
        <v xml:space="preserve">http://slimages.macys.com/is/image/MCY/3006686 </v>
      </c>
      <c r="O210" s="30"/>
    </row>
    <row r="211" spans="1:15" ht="48" x14ac:dyDescent="0.25">
      <c r="A211" s="19" t="s">
        <v>1938</v>
      </c>
      <c r="B211" s="17" t="s">
        <v>1937</v>
      </c>
      <c r="C211" s="20">
        <v>1</v>
      </c>
      <c r="D211" s="18">
        <v>20</v>
      </c>
      <c r="E211" s="18">
        <v>74</v>
      </c>
      <c r="F211" s="20" t="s">
        <v>1936</v>
      </c>
      <c r="G211" s="17" t="s">
        <v>1356</v>
      </c>
      <c r="H211" s="19" t="s">
        <v>197</v>
      </c>
      <c r="I211" s="18">
        <v>13.333333333333334</v>
      </c>
      <c r="J211" s="17" t="s">
        <v>148</v>
      </c>
      <c r="K211" s="17" t="s">
        <v>409</v>
      </c>
      <c r="L211" s="17"/>
      <c r="M211" s="17"/>
      <c r="N211" s="16" t="str">
        <f>HYPERLINK("http://slimages.macys.com/is/image/MCY/18860435 ")</f>
        <v xml:space="preserve">http://slimages.macys.com/is/image/MCY/18860435 </v>
      </c>
      <c r="O211" s="30"/>
    </row>
    <row r="212" spans="1:15" ht="48" x14ac:dyDescent="0.25">
      <c r="A212" s="19" t="s">
        <v>1935</v>
      </c>
      <c r="B212" s="17" t="s">
        <v>1934</v>
      </c>
      <c r="C212" s="20">
        <v>1</v>
      </c>
      <c r="D212" s="18">
        <v>20</v>
      </c>
      <c r="E212" s="18">
        <v>69</v>
      </c>
      <c r="F212" s="20" t="s">
        <v>1164</v>
      </c>
      <c r="G212" s="17" t="s">
        <v>1536</v>
      </c>
      <c r="H212" s="19"/>
      <c r="I212" s="18">
        <v>13.333333333333334</v>
      </c>
      <c r="J212" s="17" t="s">
        <v>550</v>
      </c>
      <c r="K212" s="17" t="s">
        <v>1163</v>
      </c>
      <c r="L212" s="17"/>
      <c r="M212" s="17"/>
      <c r="N212" s="16" t="str">
        <f>HYPERLINK("http://slimages.macys.com/is/image/MCY/18241862 ")</f>
        <v xml:space="preserve">http://slimages.macys.com/is/image/MCY/18241862 </v>
      </c>
      <c r="O212" s="30"/>
    </row>
    <row r="213" spans="1:15" ht="48" x14ac:dyDescent="0.25">
      <c r="A213" s="19" t="s">
        <v>1933</v>
      </c>
      <c r="B213" s="17" t="s">
        <v>1932</v>
      </c>
      <c r="C213" s="20">
        <v>1</v>
      </c>
      <c r="D213" s="18">
        <v>19.8</v>
      </c>
      <c r="E213" s="18">
        <v>99</v>
      </c>
      <c r="F213" s="20" t="s">
        <v>1931</v>
      </c>
      <c r="G213" s="17" t="s">
        <v>51</v>
      </c>
      <c r="H213" s="19" t="s">
        <v>857</v>
      </c>
      <c r="I213" s="18">
        <v>13.200000000000001</v>
      </c>
      <c r="J213" s="17" t="s">
        <v>678</v>
      </c>
      <c r="K213" s="17" t="s">
        <v>404</v>
      </c>
      <c r="L213" s="17"/>
      <c r="M213" s="17"/>
      <c r="N213" s="16" t="str">
        <f>HYPERLINK("http://slimages.macys.com/is/image/MCY/19087756 ")</f>
        <v xml:space="preserve">http://slimages.macys.com/is/image/MCY/19087756 </v>
      </c>
      <c r="O213" s="30"/>
    </row>
    <row r="214" spans="1:15" ht="48" x14ac:dyDescent="0.25">
      <c r="A214" s="19" t="s">
        <v>1930</v>
      </c>
      <c r="B214" s="17" t="s">
        <v>1929</v>
      </c>
      <c r="C214" s="20">
        <v>1</v>
      </c>
      <c r="D214" s="18">
        <v>19.75</v>
      </c>
      <c r="E214" s="18">
        <v>79</v>
      </c>
      <c r="F214" s="20" t="s">
        <v>1923</v>
      </c>
      <c r="G214" s="17" t="s">
        <v>508</v>
      </c>
      <c r="H214" s="19" t="s">
        <v>101</v>
      </c>
      <c r="I214" s="18">
        <v>13.166666666666668</v>
      </c>
      <c r="J214" s="17" t="s">
        <v>129</v>
      </c>
      <c r="K214" s="17" t="s">
        <v>128</v>
      </c>
      <c r="L214" s="17"/>
      <c r="M214" s="17"/>
      <c r="N214" s="16" t="str">
        <f>HYPERLINK("http://slimages.macys.com/is/image/MCY/19114679 ")</f>
        <v xml:space="preserve">http://slimages.macys.com/is/image/MCY/19114679 </v>
      </c>
      <c r="O214" s="30"/>
    </row>
    <row r="215" spans="1:15" ht="48" x14ac:dyDescent="0.25">
      <c r="A215" s="19" t="s">
        <v>1928</v>
      </c>
      <c r="B215" s="17" t="s">
        <v>1927</v>
      </c>
      <c r="C215" s="20">
        <v>2</v>
      </c>
      <c r="D215" s="18">
        <v>19.75</v>
      </c>
      <c r="E215" s="18">
        <v>79</v>
      </c>
      <c r="F215" s="20" t="s">
        <v>1926</v>
      </c>
      <c r="G215" s="17" t="s">
        <v>23</v>
      </c>
      <c r="H215" s="19" t="s">
        <v>197</v>
      </c>
      <c r="I215" s="18">
        <v>13.166666666666668</v>
      </c>
      <c r="J215" s="17" t="s">
        <v>405</v>
      </c>
      <c r="K215" s="17" t="s">
        <v>404</v>
      </c>
      <c r="L215" s="17"/>
      <c r="M215" s="17"/>
      <c r="N215" s="16" t="str">
        <f>HYPERLINK("http://slimages.macys.com/is/image/MCY/18224175 ")</f>
        <v xml:space="preserve">http://slimages.macys.com/is/image/MCY/18224175 </v>
      </c>
      <c r="O215" s="30"/>
    </row>
    <row r="216" spans="1:15" ht="48" x14ac:dyDescent="0.25">
      <c r="A216" s="19" t="s">
        <v>1925</v>
      </c>
      <c r="B216" s="17" t="s">
        <v>1924</v>
      </c>
      <c r="C216" s="20">
        <v>1</v>
      </c>
      <c r="D216" s="18">
        <v>19.75</v>
      </c>
      <c r="E216" s="18">
        <v>79</v>
      </c>
      <c r="F216" s="20" t="s">
        <v>1923</v>
      </c>
      <c r="G216" s="17" t="s">
        <v>91</v>
      </c>
      <c r="H216" s="19" t="s">
        <v>22</v>
      </c>
      <c r="I216" s="18">
        <v>13.166666666666668</v>
      </c>
      <c r="J216" s="17" t="s">
        <v>129</v>
      </c>
      <c r="K216" s="17" t="s">
        <v>128</v>
      </c>
      <c r="L216" s="17"/>
      <c r="M216" s="17"/>
      <c r="N216" s="16" t="str">
        <f>HYPERLINK("http://slimages.macys.com/is/image/MCY/19114679 ")</f>
        <v xml:space="preserve">http://slimages.macys.com/is/image/MCY/19114679 </v>
      </c>
      <c r="O216" s="30"/>
    </row>
    <row r="217" spans="1:15" ht="48" x14ac:dyDescent="0.25">
      <c r="A217" s="19" t="s">
        <v>1922</v>
      </c>
      <c r="B217" s="17" t="s">
        <v>1921</v>
      </c>
      <c r="C217" s="20">
        <v>1</v>
      </c>
      <c r="D217" s="18">
        <v>19.75</v>
      </c>
      <c r="E217" s="18">
        <v>79</v>
      </c>
      <c r="F217" s="20">
        <v>8151032</v>
      </c>
      <c r="G217" s="17" t="s">
        <v>544</v>
      </c>
      <c r="H217" s="19" t="s">
        <v>17</v>
      </c>
      <c r="I217" s="18">
        <v>13.166666666666668</v>
      </c>
      <c r="J217" s="17" t="s">
        <v>129</v>
      </c>
      <c r="K217" s="17" t="s">
        <v>128</v>
      </c>
      <c r="L217" s="17"/>
      <c r="M217" s="17"/>
      <c r="N217" s="16" t="str">
        <f>HYPERLINK("http://slimages.macys.com/is/image/MCY/19706200 ")</f>
        <v xml:space="preserve">http://slimages.macys.com/is/image/MCY/19706200 </v>
      </c>
      <c r="O217" s="30"/>
    </row>
    <row r="218" spans="1:15" ht="48" x14ac:dyDescent="0.25">
      <c r="A218" s="19" t="s">
        <v>1920</v>
      </c>
      <c r="B218" s="17" t="s">
        <v>1919</v>
      </c>
      <c r="C218" s="20">
        <v>1</v>
      </c>
      <c r="D218" s="18">
        <v>19.75</v>
      </c>
      <c r="E218" s="18">
        <v>79</v>
      </c>
      <c r="F218" s="20">
        <v>10736484</v>
      </c>
      <c r="G218" s="17" t="s">
        <v>555</v>
      </c>
      <c r="H218" s="19" t="s">
        <v>74</v>
      </c>
      <c r="I218" s="18">
        <v>13.166666666666668</v>
      </c>
      <c r="J218" s="17" t="s">
        <v>144</v>
      </c>
      <c r="K218" s="17" t="s">
        <v>1211</v>
      </c>
      <c r="L218" s="17" t="s">
        <v>389</v>
      </c>
      <c r="M218" s="17" t="s">
        <v>1167</v>
      </c>
      <c r="N218" s="16" t="str">
        <f>HYPERLINK("http://slimages.macys.com/is/image/MCY/15219003 ")</f>
        <v xml:space="preserve">http://slimages.macys.com/is/image/MCY/15219003 </v>
      </c>
      <c r="O218" s="30"/>
    </row>
    <row r="219" spans="1:15" ht="48" x14ac:dyDescent="0.25">
      <c r="A219" s="19" t="s">
        <v>1918</v>
      </c>
      <c r="B219" s="17" t="s">
        <v>1917</v>
      </c>
      <c r="C219" s="20">
        <v>1</v>
      </c>
      <c r="D219" s="18">
        <v>19.63</v>
      </c>
      <c r="E219" s="18">
        <v>69.5</v>
      </c>
      <c r="F219" s="20" t="s">
        <v>1916</v>
      </c>
      <c r="G219" s="17" t="s">
        <v>28</v>
      </c>
      <c r="H219" s="19" t="s">
        <v>69</v>
      </c>
      <c r="I219" s="18">
        <v>13.086666666666668</v>
      </c>
      <c r="J219" s="17" t="s">
        <v>68</v>
      </c>
      <c r="K219" s="17" t="s">
        <v>67</v>
      </c>
      <c r="L219" s="17"/>
      <c r="M219" s="17"/>
      <c r="N219" s="16" t="str">
        <f>HYPERLINK("http://slimages.macys.com/is/image/MCY/18560655 ")</f>
        <v xml:space="preserve">http://slimages.macys.com/is/image/MCY/18560655 </v>
      </c>
      <c r="O219" s="30"/>
    </row>
    <row r="220" spans="1:15" ht="48" x14ac:dyDescent="0.25">
      <c r="A220" s="19" t="s">
        <v>1915</v>
      </c>
      <c r="B220" s="17" t="s">
        <v>1914</v>
      </c>
      <c r="C220" s="20">
        <v>3</v>
      </c>
      <c r="D220" s="18">
        <v>19.53</v>
      </c>
      <c r="E220" s="18">
        <v>59</v>
      </c>
      <c r="F220" s="20" t="s">
        <v>1913</v>
      </c>
      <c r="G220" s="17" t="s">
        <v>562</v>
      </c>
      <c r="H220" s="19" t="s">
        <v>17</v>
      </c>
      <c r="I220" s="18">
        <v>13.020000000000001</v>
      </c>
      <c r="J220" s="17" t="s">
        <v>49</v>
      </c>
      <c r="K220" s="17" t="s">
        <v>48</v>
      </c>
      <c r="L220" s="17"/>
      <c r="M220" s="17"/>
      <c r="N220" s="16" t="str">
        <f>HYPERLINK("http://slimages.macys.com/is/image/MCY/19177542 ")</f>
        <v xml:space="preserve">http://slimages.macys.com/is/image/MCY/19177542 </v>
      </c>
      <c r="O220" s="30"/>
    </row>
    <row r="221" spans="1:15" ht="48" x14ac:dyDescent="0.25">
      <c r="A221" s="19" t="s">
        <v>1912</v>
      </c>
      <c r="B221" s="17" t="s">
        <v>1911</v>
      </c>
      <c r="C221" s="20">
        <v>1</v>
      </c>
      <c r="D221" s="18">
        <v>19.489999999999998</v>
      </c>
      <c r="E221" s="18">
        <v>69</v>
      </c>
      <c r="F221" s="20" t="s">
        <v>1133</v>
      </c>
      <c r="G221" s="17" t="s">
        <v>272</v>
      </c>
      <c r="H221" s="19" t="s">
        <v>74</v>
      </c>
      <c r="I221" s="18">
        <v>12.993333333333334</v>
      </c>
      <c r="J221" s="17" t="s">
        <v>56</v>
      </c>
      <c r="K221" s="17" t="s">
        <v>55</v>
      </c>
      <c r="L221" s="17" t="s">
        <v>389</v>
      </c>
      <c r="M221" s="17" t="s">
        <v>1129</v>
      </c>
      <c r="N221" s="16" t="str">
        <f>HYPERLINK("http://slimages.macys.com/is/image/MCY/13744269 ")</f>
        <v xml:space="preserve">http://slimages.macys.com/is/image/MCY/13744269 </v>
      </c>
      <c r="O221" s="30"/>
    </row>
    <row r="222" spans="1:15" ht="48" x14ac:dyDescent="0.25">
      <c r="A222" s="19" t="s">
        <v>1910</v>
      </c>
      <c r="B222" s="17" t="s">
        <v>1127</v>
      </c>
      <c r="C222" s="20">
        <v>1</v>
      </c>
      <c r="D222" s="18">
        <v>19.32</v>
      </c>
      <c r="E222" s="18">
        <v>69</v>
      </c>
      <c r="F222" s="20" t="s">
        <v>1126</v>
      </c>
      <c r="G222" s="17" t="s">
        <v>575</v>
      </c>
      <c r="H222" s="19" t="s">
        <v>749</v>
      </c>
      <c r="I222" s="18">
        <v>12.88</v>
      </c>
      <c r="J222" s="17" t="s">
        <v>820</v>
      </c>
      <c r="K222" s="17" t="s">
        <v>67</v>
      </c>
      <c r="L222" s="17"/>
      <c r="M222" s="17"/>
      <c r="N222" s="16" t="str">
        <f>HYPERLINK("http://slimages.macys.com/is/image/MCY/3761197 ")</f>
        <v xml:space="preserve">http://slimages.macys.com/is/image/MCY/3761197 </v>
      </c>
      <c r="O222" s="30"/>
    </row>
    <row r="223" spans="1:15" ht="48" x14ac:dyDescent="0.25">
      <c r="A223" s="19" t="s">
        <v>1909</v>
      </c>
      <c r="B223" s="17" t="s">
        <v>1127</v>
      </c>
      <c r="C223" s="20">
        <v>1</v>
      </c>
      <c r="D223" s="18">
        <v>19.32</v>
      </c>
      <c r="E223" s="18">
        <v>69</v>
      </c>
      <c r="F223" s="20" t="s">
        <v>1126</v>
      </c>
      <c r="G223" s="17" t="s">
        <v>575</v>
      </c>
      <c r="H223" s="19" t="s">
        <v>1862</v>
      </c>
      <c r="I223" s="18">
        <v>12.88</v>
      </c>
      <c r="J223" s="17" t="s">
        <v>820</v>
      </c>
      <c r="K223" s="17" t="s">
        <v>67</v>
      </c>
      <c r="L223" s="17"/>
      <c r="M223" s="17"/>
      <c r="N223" s="16" t="str">
        <f>HYPERLINK("http://slimages.macys.com/is/image/MCY/3761197 ")</f>
        <v xml:space="preserve">http://slimages.macys.com/is/image/MCY/3761197 </v>
      </c>
      <c r="O223" s="30"/>
    </row>
    <row r="224" spans="1:15" ht="48" x14ac:dyDescent="0.25">
      <c r="A224" s="19" t="s">
        <v>1908</v>
      </c>
      <c r="B224" s="17" t="s">
        <v>1907</v>
      </c>
      <c r="C224" s="20">
        <v>1</v>
      </c>
      <c r="D224" s="18">
        <v>19.11</v>
      </c>
      <c r="E224" s="18">
        <v>69</v>
      </c>
      <c r="F224" s="20" t="s">
        <v>1906</v>
      </c>
      <c r="G224" s="17" t="s">
        <v>433</v>
      </c>
      <c r="H224" s="19" t="s">
        <v>74</v>
      </c>
      <c r="I224" s="18">
        <v>12.74</v>
      </c>
      <c r="J224" s="17" t="s">
        <v>405</v>
      </c>
      <c r="K224" s="17" t="s">
        <v>404</v>
      </c>
      <c r="L224" s="17"/>
      <c r="M224" s="17"/>
      <c r="N224" s="16" t="str">
        <f>HYPERLINK("http://slimages.macys.com/is/image/MCY/19850141 ")</f>
        <v xml:space="preserve">http://slimages.macys.com/is/image/MCY/19850141 </v>
      </c>
      <c r="O224" s="30"/>
    </row>
    <row r="225" spans="1:15" ht="48" x14ac:dyDescent="0.25">
      <c r="A225" s="19" t="s">
        <v>1905</v>
      </c>
      <c r="B225" s="17" t="s">
        <v>1904</v>
      </c>
      <c r="C225" s="20">
        <v>1</v>
      </c>
      <c r="D225" s="18">
        <v>19.11</v>
      </c>
      <c r="E225" s="18">
        <v>69</v>
      </c>
      <c r="F225" s="20" t="s">
        <v>1903</v>
      </c>
      <c r="G225" s="17" t="s">
        <v>51</v>
      </c>
      <c r="H225" s="19" t="s">
        <v>69</v>
      </c>
      <c r="I225" s="18">
        <v>12.74</v>
      </c>
      <c r="J225" s="17" t="s">
        <v>405</v>
      </c>
      <c r="K225" s="17" t="s">
        <v>404</v>
      </c>
      <c r="L225" s="17"/>
      <c r="M225" s="17"/>
      <c r="N225" s="16" t="str">
        <f>HYPERLINK("http://slimages.macys.com/is/image/MCY/19406679 ")</f>
        <v xml:space="preserve">http://slimages.macys.com/is/image/MCY/19406679 </v>
      </c>
      <c r="O225" s="30"/>
    </row>
    <row r="226" spans="1:15" ht="48" x14ac:dyDescent="0.25">
      <c r="A226" s="19" t="s">
        <v>1902</v>
      </c>
      <c r="B226" s="17" t="s">
        <v>1901</v>
      </c>
      <c r="C226" s="20">
        <v>1</v>
      </c>
      <c r="D226" s="18">
        <v>18.899999999999999</v>
      </c>
      <c r="E226" s="18">
        <v>48.3</v>
      </c>
      <c r="F226" s="20" t="s">
        <v>1895</v>
      </c>
      <c r="G226" s="17" t="s">
        <v>28</v>
      </c>
      <c r="H226" s="19" t="s">
        <v>74</v>
      </c>
      <c r="I226" s="18">
        <v>12.6</v>
      </c>
      <c r="J226" s="17" t="s">
        <v>42</v>
      </c>
      <c r="K226" s="17" t="s">
        <v>41</v>
      </c>
      <c r="L226" s="17"/>
      <c r="M226" s="17"/>
      <c r="N226" s="16" t="str">
        <f>HYPERLINK("http://slimages.macys.com/is/image/MCY/18545224 ")</f>
        <v xml:space="preserve">http://slimages.macys.com/is/image/MCY/18545224 </v>
      </c>
      <c r="O226" s="30"/>
    </row>
    <row r="227" spans="1:15" ht="48" x14ac:dyDescent="0.25">
      <c r="A227" s="19" t="s">
        <v>1900</v>
      </c>
      <c r="B227" s="17" t="s">
        <v>1899</v>
      </c>
      <c r="C227" s="20">
        <v>1</v>
      </c>
      <c r="D227" s="18">
        <v>18.899999999999999</v>
      </c>
      <c r="E227" s="18">
        <v>48.3</v>
      </c>
      <c r="F227" s="20" t="s">
        <v>1898</v>
      </c>
      <c r="G227" s="17" t="s">
        <v>58</v>
      </c>
      <c r="H227" s="19" t="s">
        <v>69</v>
      </c>
      <c r="I227" s="18">
        <v>12.6</v>
      </c>
      <c r="J227" s="17" t="s">
        <v>42</v>
      </c>
      <c r="K227" s="17" t="s">
        <v>41</v>
      </c>
      <c r="L227" s="17"/>
      <c r="M227" s="17"/>
      <c r="N227" s="16" t="str">
        <f>HYPERLINK("http://slimages.macys.com/is/image/MCY/18916997 ")</f>
        <v xml:space="preserve">http://slimages.macys.com/is/image/MCY/18916997 </v>
      </c>
      <c r="O227" s="30"/>
    </row>
    <row r="228" spans="1:15" ht="48" x14ac:dyDescent="0.25">
      <c r="A228" s="19" t="s">
        <v>1897</v>
      </c>
      <c r="B228" s="17" t="s">
        <v>1896</v>
      </c>
      <c r="C228" s="20">
        <v>1</v>
      </c>
      <c r="D228" s="18">
        <v>18.899999999999999</v>
      </c>
      <c r="E228" s="18">
        <v>48.3</v>
      </c>
      <c r="F228" s="20" t="s">
        <v>1895</v>
      </c>
      <c r="G228" s="17" t="s">
        <v>28</v>
      </c>
      <c r="H228" s="19" t="s">
        <v>69</v>
      </c>
      <c r="I228" s="18">
        <v>12.6</v>
      </c>
      <c r="J228" s="17" t="s">
        <v>42</v>
      </c>
      <c r="K228" s="17" t="s">
        <v>41</v>
      </c>
      <c r="L228" s="17"/>
      <c r="M228" s="17"/>
      <c r="N228" s="16" t="str">
        <f>HYPERLINK("http://slimages.macys.com/is/image/MCY/19187460 ")</f>
        <v xml:space="preserve">http://slimages.macys.com/is/image/MCY/19187460 </v>
      </c>
      <c r="O228" s="30"/>
    </row>
    <row r="229" spans="1:15" ht="48" x14ac:dyDescent="0.25">
      <c r="A229" s="19" t="s">
        <v>1894</v>
      </c>
      <c r="B229" s="17" t="s">
        <v>1893</v>
      </c>
      <c r="C229" s="20">
        <v>1</v>
      </c>
      <c r="D229" s="18">
        <v>18.07</v>
      </c>
      <c r="E229" s="18">
        <v>69.5</v>
      </c>
      <c r="F229" s="20" t="s">
        <v>1892</v>
      </c>
      <c r="G229" s="17" t="s">
        <v>216</v>
      </c>
      <c r="H229" s="19"/>
      <c r="I229" s="18">
        <v>12.046666666666667</v>
      </c>
      <c r="J229" s="17" t="s">
        <v>1891</v>
      </c>
      <c r="K229" s="17" t="s">
        <v>67</v>
      </c>
      <c r="L229" s="17" t="s">
        <v>389</v>
      </c>
      <c r="M229" s="17" t="s">
        <v>1044</v>
      </c>
      <c r="N229" s="16" t="str">
        <f>HYPERLINK("http://slimages.macys.com/is/image/MCY/11580185 ")</f>
        <v xml:space="preserve">http://slimages.macys.com/is/image/MCY/11580185 </v>
      </c>
      <c r="O229" s="30"/>
    </row>
    <row r="230" spans="1:15" ht="48" x14ac:dyDescent="0.25">
      <c r="A230" s="19" t="s">
        <v>1096</v>
      </c>
      <c r="B230" s="17" t="s">
        <v>1095</v>
      </c>
      <c r="C230" s="20">
        <v>1</v>
      </c>
      <c r="D230" s="18">
        <v>18</v>
      </c>
      <c r="E230" s="18">
        <v>54</v>
      </c>
      <c r="F230" s="20" t="s">
        <v>1094</v>
      </c>
      <c r="G230" s="17" t="s">
        <v>28</v>
      </c>
      <c r="H230" s="19" t="s">
        <v>62</v>
      </c>
      <c r="I230" s="18">
        <v>12</v>
      </c>
      <c r="J230" s="17" t="s">
        <v>133</v>
      </c>
      <c r="K230" s="17" t="s">
        <v>833</v>
      </c>
      <c r="L230" s="17"/>
      <c r="M230" s="17"/>
      <c r="N230" s="16" t="str">
        <f>HYPERLINK("http://slimages.macys.com/is/image/MCY/19305425 ")</f>
        <v xml:space="preserve">http://slimages.macys.com/is/image/MCY/19305425 </v>
      </c>
      <c r="O230" s="30"/>
    </row>
    <row r="231" spans="1:15" ht="48" x14ac:dyDescent="0.25">
      <c r="A231" s="19" t="s">
        <v>1890</v>
      </c>
      <c r="B231" s="17" t="s">
        <v>1889</v>
      </c>
      <c r="C231" s="20">
        <v>4</v>
      </c>
      <c r="D231" s="18">
        <v>18</v>
      </c>
      <c r="E231" s="18">
        <v>79</v>
      </c>
      <c r="F231" s="20" t="s">
        <v>1888</v>
      </c>
      <c r="G231" s="17"/>
      <c r="H231" s="19" t="s">
        <v>62</v>
      </c>
      <c r="I231" s="18">
        <v>12</v>
      </c>
      <c r="J231" s="17" t="s">
        <v>148</v>
      </c>
      <c r="K231" s="17" t="s">
        <v>409</v>
      </c>
      <c r="L231" s="17"/>
      <c r="M231" s="17"/>
      <c r="N231" s="16" t="str">
        <f>HYPERLINK("http://slimages.macys.com/is/image/MCY/19817105 ")</f>
        <v xml:space="preserve">http://slimages.macys.com/is/image/MCY/19817105 </v>
      </c>
      <c r="O231" s="30"/>
    </row>
    <row r="232" spans="1:15" ht="60" x14ac:dyDescent="0.25">
      <c r="A232" s="19" t="s">
        <v>1887</v>
      </c>
      <c r="B232" s="17" t="s">
        <v>1886</v>
      </c>
      <c r="C232" s="20">
        <v>1</v>
      </c>
      <c r="D232" s="18">
        <v>17.98</v>
      </c>
      <c r="E232" s="18">
        <v>59.5</v>
      </c>
      <c r="F232" s="20" t="s">
        <v>1885</v>
      </c>
      <c r="G232" s="17" t="s">
        <v>23</v>
      </c>
      <c r="H232" s="19" t="s">
        <v>57</v>
      </c>
      <c r="I232" s="18">
        <v>11.986666666666668</v>
      </c>
      <c r="J232" s="17" t="s">
        <v>106</v>
      </c>
      <c r="K232" s="17" t="s">
        <v>105</v>
      </c>
      <c r="L232" s="17"/>
      <c r="M232" s="17"/>
      <c r="N232" s="16" t="str">
        <f>HYPERLINK("http://slimages.macys.com/is/image/MCY/19037863 ")</f>
        <v xml:space="preserve">http://slimages.macys.com/is/image/MCY/19037863 </v>
      </c>
      <c r="O232" s="30"/>
    </row>
    <row r="233" spans="1:15" ht="60" x14ac:dyDescent="0.25">
      <c r="A233" s="19" t="s">
        <v>1884</v>
      </c>
      <c r="B233" s="17" t="s">
        <v>1883</v>
      </c>
      <c r="C233" s="20">
        <v>1</v>
      </c>
      <c r="D233" s="18">
        <v>17.98</v>
      </c>
      <c r="E233" s="18">
        <v>59.5</v>
      </c>
      <c r="F233" s="20" t="s">
        <v>1882</v>
      </c>
      <c r="G233" s="17" t="s">
        <v>23</v>
      </c>
      <c r="H233" s="19" t="s">
        <v>197</v>
      </c>
      <c r="I233" s="18">
        <v>11.986666666666668</v>
      </c>
      <c r="J233" s="17" t="s">
        <v>106</v>
      </c>
      <c r="K233" s="17" t="s">
        <v>105</v>
      </c>
      <c r="L233" s="17"/>
      <c r="M233" s="17"/>
      <c r="N233" s="16" t="str">
        <f>HYPERLINK("http://slimages.macys.com/is/image/MCY/19027762 ")</f>
        <v xml:space="preserve">http://slimages.macys.com/is/image/MCY/19027762 </v>
      </c>
      <c r="O233" s="30"/>
    </row>
    <row r="234" spans="1:15" ht="48" x14ac:dyDescent="0.25">
      <c r="A234" s="19" t="s">
        <v>1881</v>
      </c>
      <c r="B234" s="17" t="s">
        <v>1880</v>
      </c>
      <c r="C234" s="20">
        <v>2</v>
      </c>
      <c r="D234" s="18">
        <v>17.7</v>
      </c>
      <c r="E234" s="18">
        <v>59</v>
      </c>
      <c r="F234" s="20" t="s">
        <v>1879</v>
      </c>
      <c r="G234" s="17" t="s">
        <v>206</v>
      </c>
      <c r="H234" s="19" t="s">
        <v>197</v>
      </c>
      <c r="I234" s="18">
        <v>11.8</v>
      </c>
      <c r="J234" s="17" t="s">
        <v>144</v>
      </c>
      <c r="K234" s="17" t="s">
        <v>496</v>
      </c>
      <c r="L234" s="17"/>
      <c r="M234" s="17"/>
      <c r="N234" s="16" t="str">
        <f>HYPERLINK("http://slimages.macys.com/is/image/MCY/18844525 ")</f>
        <v xml:space="preserve">http://slimages.macys.com/is/image/MCY/18844525 </v>
      </c>
      <c r="O234" s="30"/>
    </row>
    <row r="235" spans="1:15" ht="48" x14ac:dyDescent="0.25">
      <c r="A235" s="19" t="s">
        <v>1878</v>
      </c>
      <c r="B235" s="17" t="s">
        <v>1877</v>
      </c>
      <c r="C235" s="20">
        <v>1</v>
      </c>
      <c r="D235" s="18">
        <v>17.7</v>
      </c>
      <c r="E235" s="18">
        <v>59</v>
      </c>
      <c r="F235" s="20" t="s">
        <v>1876</v>
      </c>
      <c r="G235" s="17" t="s">
        <v>23</v>
      </c>
      <c r="H235" s="19" t="s">
        <v>74</v>
      </c>
      <c r="I235" s="18">
        <v>11.8</v>
      </c>
      <c r="J235" s="17" t="s">
        <v>678</v>
      </c>
      <c r="K235" s="17" t="s">
        <v>404</v>
      </c>
      <c r="L235" s="17"/>
      <c r="M235" s="17"/>
      <c r="N235" s="16" t="str">
        <f>HYPERLINK("http://slimages.macys.com/is/image/MCY/19288066 ")</f>
        <v xml:space="preserve">http://slimages.macys.com/is/image/MCY/19288066 </v>
      </c>
      <c r="O235" s="30"/>
    </row>
    <row r="236" spans="1:15" ht="48" x14ac:dyDescent="0.25">
      <c r="A236" s="19" t="s">
        <v>1875</v>
      </c>
      <c r="B236" s="17" t="s">
        <v>1874</v>
      </c>
      <c r="C236" s="20">
        <v>1</v>
      </c>
      <c r="D236" s="18">
        <v>17.5</v>
      </c>
      <c r="E236" s="18">
        <v>50</v>
      </c>
      <c r="F236" s="20" t="s">
        <v>1873</v>
      </c>
      <c r="G236" s="17" t="s">
        <v>140</v>
      </c>
      <c r="H236" s="19" t="s">
        <v>69</v>
      </c>
      <c r="I236" s="18">
        <v>11.666666666666668</v>
      </c>
      <c r="J236" s="17" t="s">
        <v>80</v>
      </c>
      <c r="K236" s="17" t="s">
        <v>187</v>
      </c>
      <c r="L236" s="17"/>
      <c r="M236" s="17"/>
      <c r="N236" s="16" t="str">
        <f>HYPERLINK("http://slimages.macys.com/is/image/MCY/19802581 ")</f>
        <v xml:space="preserve">http://slimages.macys.com/is/image/MCY/19802581 </v>
      </c>
      <c r="O236" s="30"/>
    </row>
    <row r="237" spans="1:15" ht="48" x14ac:dyDescent="0.25">
      <c r="A237" s="19" t="s">
        <v>1872</v>
      </c>
      <c r="B237" s="17" t="s">
        <v>1871</v>
      </c>
      <c r="C237" s="20">
        <v>1</v>
      </c>
      <c r="D237" s="18">
        <v>17.25</v>
      </c>
      <c r="E237" s="18">
        <v>69</v>
      </c>
      <c r="F237" s="20">
        <v>10534614</v>
      </c>
      <c r="G237" s="17" t="s">
        <v>51</v>
      </c>
      <c r="H237" s="19" t="s">
        <v>773</v>
      </c>
      <c r="I237" s="18">
        <v>11.500000000000002</v>
      </c>
      <c r="J237" s="17" t="s">
        <v>144</v>
      </c>
      <c r="K237" s="17" t="s">
        <v>1211</v>
      </c>
      <c r="L237" s="17" t="s">
        <v>389</v>
      </c>
      <c r="M237" s="17" t="s">
        <v>1870</v>
      </c>
      <c r="N237" s="16" t="str">
        <f>HYPERLINK("http://slimages.macys.com/is/image/MCY/9000775 ")</f>
        <v xml:space="preserve">http://slimages.macys.com/is/image/MCY/9000775 </v>
      </c>
      <c r="O237" s="30"/>
    </row>
    <row r="238" spans="1:15" ht="72" x14ac:dyDescent="0.25">
      <c r="A238" s="19" t="s">
        <v>1869</v>
      </c>
      <c r="B238" s="17" t="s">
        <v>1868</v>
      </c>
      <c r="C238" s="20">
        <v>1</v>
      </c>
      <c r="D238" s="18">
        <v>17.25</v>
      </c>
      <c r="E238" s="18">
        <v>69</v>
      </c>
      <c r="F238" s="20">
        <v>10736480</v>
      </c>
      <c r="G238" s="17" t="s">
        <v>555</v>
      </c>
      <c r="H238" s="19" t="s">
        <v>96</v>
      </c>
      <c r="I238" s="18">
        <v>11.500000000000002</v>
      </c>
      <c r="J238" s="17" t="s">
        <v>144</v>
      </c>
      <c r="K238" s="17" t="s">
        <v>1211</v>
      </c>
      <c r="L238" s="17" t="s">
        <v>389</v>
      </c>
      <c r="M238" s="17" t="s">
        <v>1322</v>
      </c>
      <c r="N238" s="16" t="str">
        <f>HYPERLINK("http://slimages.macys.com/is/image/MCY/15793426 ")</f>
        <v xml:space="preserve">http://slimages.macys.com/is/image/MCY/15793426 </v>
      </c>
      <c r="O238" s="30"/>
    </row>
    <row r="239" spans="1:15" ht="48" x14ac:dyDescent="0.25">
      <c r="A239" s="19" t="s">
        <v>1867</v>
      </c>
      <c r="B239" s="17" t="s">
        <v>1866</v>
      </c>
      <c r="C239" s="20">
        <v>1</v>
      </c>
      <c r="D239" s="18">
        <v>17.25</v>
      </c>
      <c r="E239" s="18">
        <v>69</v>
      </c>
      <c r="F239" s="20">
        <v>8151602</v>
      </c>
      <c r="G239" s="17" t="s">
        <v>1323</v>
      </c>
      <c r="H239" s="19" t="s">
        <v>17</v>
      </c>
      <c r="I239" s="18">
        <v>11.500000000000002</v>
      </c>
      <c r="J239" s="17" t="s">
        <v>129</v>
      </c>
      <c r="K239" s="17" t="s">
        <v>128</v>
      </c>
      <c r="L239" s="17"/>
      <c r="M239" s="17"/>
      <c r="N239" s="16" t="str">
        <f>HYPERLINK("http://slimages.macys.com/is/image/MCY/19706219 ")</f>
        <v xml:space="preserve">http://slimages.macys.com/is/image/MCY/19706219 </v>
      </c>
      <c r="O239" s="30"/>
    </row>
    <row r="240" spans="1:15" ht="48" x14ac:dyDescent="0.25">
      <c r="A240" s="19" t="s">
        <v>1865</v>
      </c>
      <c r="B240" s="17" t="s">
        <v>1864</v>
      </c>
      <c r="C240" s="20">
        <v>1</v>
      </c>
      <c r="D240" s="18">
        <v>17</v>
      </c>
      <c r="E240" s="18">
        <v>60</v>
      </c>
      <c r="F240" s="20" t="s">
        <v>1863</v>
      </c>
      <c r="G240" s="17" t="s">
        <v>35</v>
      </c>
      <c r="H240" s="19" t="s">
        <v>1862</v>
      </c>
      <c r="I240" s="18">
        <v>11.333333333333334</v>
      </c>
      <c r="J240" s="17" t="s">
        <v>80</v>
      </c>
      <c r="K240" s="17" t="s">
        <v>187</v>
      </c>
      <c r="L240" s="17"/>
      <c r="M240" s="17"/>
      <c r="N240" s="16" t="str">
        <f>HYPERLINK("http://slimages.macys.com/is/image/MCY/19108974 ")</f>
        <v xml:space="preserve">http://slimages.macys.com/is/image/MCY/19108974 </v>
      </c>
      <c r="O240" s="30"/>
    </row>
    <row r="241" spans="1:15" ht="48" x14ac:dyDescent="0.25">
      <c r="A241" s="19" t="s">
        <v>1861</v>
      </c>
      <c r="B241" s="17" t="s">
        <v>1860</v>
      </c>
      <c r="C241" s="20">
        <v>1</v>
      </c>
      <c r="D241" s="18">
        <v>16.809999999999999</v>
      </c>
      <c r="E241" s="18">
        <v>59.5</v>
      </c>
      <c r="F241" s="20" t="s">
        <v>1086</v>
      </c>
      <c r="G241" s="17" t="s">
        <v>51</v>
      </c>
      <c r="H241" s="19" t="s">
        <v>197</v>
      </c>
      <c r="I241" s="18">
        <v>11.206666666666667</v>
      </c>
      <c r="J241" s="17" t="s">
        <v>56</v>
      </c>
      <c r="K241" s="17" t="s">
        <v>55</v>
      </c>
      <c r="L241" s="17"/>
      <c r="M241" s="17"/>
      <c r="N241" s="16" t="str">
        <f>HYPERLINK("http://slimages.macys.com/is/image/MCY/19182892 ")</f>
        <v xml:space="preserve">http://slimages.macys.com/is/image/MCY/19182892 </v>
      </c>
      <c r="O241" s="30"/>
    </row>
    <row r="242" spans="1:15" ht="48" x14ac:dyDescent="0.25">
      <c r="A242" s="19" t="s">
        <v>1859</v>
      </c>
      <c r="B242" s="17" t="s">
        <v>1858</v>
      </c>
      <c r="C242" s="20">
        <v>1</v>
      </c>
      <c r="D242" s="18">
        <v>16.809999999999999</v>
      </c>
      <c r="E242" s="18">
        <v>59.5</v>
      </c>
      <c r="F242" s="20" t="s">
        <v>374</v>
      </c>
      <c r="G242" s="17" t="s">
        <v>91</v>
      </c>
      <c r="H242" s="19" t="s">
        <v>57</v>
      </c>
      <c r="I242" s="18">
        <v>11.206666666666667</v>
      </c>
      <c r="J242" s="17" t="s">
        <v>56</v>
      </c>
      <c r="K242" s="17" t="s">
        <v>55</v>
      </c>
      <c r="L242" s="17"/>
      <c r="M242" s="17"/>
      <c r="N242" s="16" t="str">
        <f>HYPERLINK("http://slimages.macys.com/is/image/MCY/19367312 ")</f>
        <v xml:space="preserve">http://slimages.macys.com/is/image/MCY/19367312 </v>
      </c>
      <c r="O242" s="30"/>
    </row>
    <row r="243" spans="1:15" ht="48" x14ac:dyDescent="0.25">
      <c r="A243" s="19" t="s">
        <v>1857</v>
      </c>
      <c r="B243" s="17" t="s">
        <v>1856</v>
      </c>
      <c r="C243" s="20">
        <v>1</v>
      </c>
      <c r="D243" s="18">
        <v>16.809999999999999</v>
      </c>
      <c r="E243" s="18">
        <v>59.5</v>
      </c>
      <c r="F243" s="20" t="s">
        <v>1855</v>
      </c>
      <c r="G243" s="17" t="s">
        <v>1536</v>
      </c>
      <c r="H243" s="19" t="s">
        <v>74</v>
      </c>
      <c r="I243" s="18">
        <v>11.206666666666667</v>
      </c>
      <c r="J243" s="17" t="s">
        <v>68</v>
      </c>
      <c r="K243" s="17" t="s">
        <v>67</v>
      </c>
      <c r="L243" s="17"/>
      <c r="M243" s="17"/>
      <c r="N243" s="16" t="str">
        <f>HYPERLINK("http://slimages.macys.com/is/image/MCY/19179941 ")</f>
        <v xml:space="preserve">http://slimages.macys.com/is/image/MCY/19179941 </v>
      </c>
      <c r="O243" s="30"/>
    </row>
    <row r="244" spans="1:15" ht="48" x14ac:dyDescent="0.25">
      <c r="A244" s="19" t="s">
        <v>1854</v>
      </c>
      <c r="B244" s="17" t="s">
        <v>1853</v>
      </c>
      <c r="C244" s="20">
        <v>1</v>
      </c>
      <c r="D244" s="18">
        <v>16.809999999999999</v>
      </c>
      <c r="E244" s="18">
        <v>59.5</v>
      </c>
      <c r="F244" s="20" t="s">
        <v>1086</v>
      </c>
      <c r="G244" s="17" t="s">
        <v>51</v>
      </c>
      <c r="H244" s="19" t="s">
        <v>74</v>
      </c>
      <c r="I244" s="18">
        <v>11.206666666666667</v>
      </c>
      <c r="J244" s="17" t="s">
        <v>56</v>
      </c>
      <c r="K244" s="17" t="s">
        <v>55</v>
      </c>
      <c r="L244" s="17"/>
      <c r="M244" s="17"/>
      <c r="N244" s="16" t="str">
        <f>HYPERLINK("http://slimages.macys.com/is/image/MCY/19182892 ")</f>
        <v xml:space="preserve">http://slimages.macys.com/is/image/MCY/19182892 </v>
      </c>
      <c r="O244" s="30"/>
    </row>
    <row r="245" spans="1:15" ht="48" x14ac:dyDescent="0.25">
      <c r="A245" s="19" t="s">
        <v>1852</v>
      </c>
      <c r="B245" s="17" t="s">
        <v>1851</v>
      </c>
      <c r="C245" s="20">
        <v>1</v>
      </c>
      <c r="D245" s="18">
        <v>16.7</v>
      </c>
      <c r="E245" s="18">
        <v>44.25</v>
      </c>
      <c r="F245" s="20" t="s">
        <v>1850</v>
      </c>
      <c r="G245" s="17" t="s">
        <v>575</v>
      </c>
      <c r="H245" s="19" t="s">
        <v>34</v>
      </c>
      <c r="I245" s="18">
        <v>11.133333333333333</v>
      </c>
      <c r="J245" s="17" t="s">
        <v>33</v>
      </c>
      <c r="K245" s="17" t="s">
        <v>32</v>
      </c>
      <c r="L245" s="17"/>
      <c r="M245" s="17"/>
      <c r="N245" s="16" t="str">
        <f>HYPERLINK("http://slimages.macys.com/is/image/MCY/18986780 ")</f>
        <v xml:space="preserve">http://slimages.macys.com/is/image/MCY/18986780 </v>
      </c>
      <c r="O245" s="30"/>
    </row>
    <row r="246" spans="1:15" ht="48" x14ac:dyDescent="0.25">
      <c r="A246" s="19" t="s">
        <v>1849</v>
      </c>
      <c r="B246" s="17" t="s">
        <v>1848</v>
      </c>
      <c r="C246" s="20">
        <v>1</v>
      </c>
      <c r="D246" s="18">
        <v>16.66</v>
      </c>
      <c r="E246" s="18">
        <v>59.5</v>
      </c>
      <c r="F246" s="20">
        <v>10823448</v>
      </c>
      <c r="G246" s="17" t="s">
        <v>35</v>
      </c>
      <c r="H246" s="19" t="s">
        <v>197</v>
      </c>
      <c r="I246" s="18">
        <v>11.106666666666667</v>
      </c>
      <c r="J246" s="17" t="s">
        <v>481</v>
      </c>
      <c r="K246" s="17" t="s">
        <v>641</v>
      </c>
      <c r="L246" s="17"/>
      <c r="M246" s="17"/>
      <c r="N246" s="16" t="str">
        <f>HYPERLINK("http://slimages.macys.com/is/image/MCY/21169972 ")</f>
        <v xml:space="preserve">http://slimages.macys.com/is/image/MCY/21169972 </v>
      </c>
      <c r="O246" s="30"/>
    </row>
    <row r="247" spans="1:15" ht="48" x14ac:dyDescent="0.25">
      <c r="A247" s="19" t="s">
        <v>1847</v>
      </c>
      <c r="B247" s="17" t="s">
        <v>1846</v>
      </c>
      <c r="C247" s="20">
        <v>2</v>
      </c>
      <c r="D247" s="18">
        <v>16.22</v>
      </c>
      <c r="E247" s="18">
        <v>49</v>
      </c>
      <c r="F247" s="20" t="s">
        <v>1840</v>
      </c>
      <c r="G247" s="17" t="s">
        <v>881</v>
      </c>
      <c r="H247" s="19" t="s">
        <v>62</v>
      </c>
      <c r="I247" s="18">
        <v>10.813333333333334</v>
      </c>
      <c r="J247" s="17" t="s">
        <v>49</v>
      </c>
      <c r="K247" s="17" t="s">
        <v>48</v>
      </c>
      <c r="L247" s="17"/>
      <c r="M247" s="17"/>
      <c r="N247" s="16" t="str">
        <f>HYPERLINK("http://slimages.macys.com/is/image/MCY/19349082 ")</f>
        <v xml:space="preserve">http://slimages.macys.com/is/image/MCY/19349082 </v>
      </c>
      <c r="O247" s="30"/>
    </row>
    <row r="248" spans="1:15" ht="48" x14ac:dyDescent="0.25">
      <c r="A248" s="19" t="s">
        <v>1845</v>
      </c>
      <c r="B248" s="17" t="s">
        <v>1844</v>
      </c>
      <c r="C248" s="20">
        <v>4</v>
      </c>
      <c r="D248" s="18">
        <v>16.22</v>
      </c>
      <c r="E248" s="18">
        <v>49</v>
      </c>
      <c r="F248" s="20" t="s">
        <v>1843</v>
      </c>
      <c r="G248" s="17" t="s">
        <v>562</v>
      </c>
      <c r="H248" s="19" t="s">
        <v>1140</v>
      </c>
      <c r="I248" s="18">
        <v>10.813333333333334</v>
      </c>
      <c r="J248" s="17" t="s">
        <v>49</v>
      </c>
      <c r="K248" s="17" t="s">
        <v>48</v>
      </c>
      <c r="L248" s="17"/>
      <c r="M248" s="17"/>
      <c r="N248" s="16" t="str">
        <f>HYPERLINK("http://slimages.macys.com/is/image/MCY/19191520 ")</f>
        <v xml:space="preserve">http://slimages.macys.com/is/image/MCY/19191520 </v>
      </c>
      <c r="O248" s="30"/>
    </row>
    <row r="249" spans="1:15" ht="48" x14ac:dyDescent="0.25">
      <c r="A249" s="19" t="s">
        <v>1842</v>
      </c>
      <c r="B249" s="17" t="s">
        <v>1841</v>
      </c>
      <c r="C249" s="20">
        <v>1</v>
      </c>
      <c r="D249" s="18">
        <v>16.22</v>
      </c>
      <c r="E249" s="18">
        <v>49</v>
      </c>
      <c r="F249" s="20" t="s">
        <v>1840</v>
      </c>
      <c r="G249" s="17" t="s">
        <v>881</v>
      </c>
      <c r="H249" s="19" t="s">
        <v>101</v>
      </c>
      <c r="I249" s="18">
        <v>10.813333333333334</v>
      </c>
      <c r="J249" s="17" t="s">
        <v>49</v>
      </c>
      <c r="K249" s="17" t="s">
        <v>48</v>
      </c>
      <c r="L249" s="17"/>
      <c r="M249" s="17"/>
      <c r="N249" s="16" t="str">
        <f>HYPERLINK("http://slimages.macys.com/is/image/MCY/19349082 ")</f>
        <v xml:space="preserve">http://slimages.macys.com/is/image/MCY/19349082 </v>
      </c>
      <c r="O249" s="30"/>
    </row>
    <row r="250" spans="1:15" ht="48" x14ac:dyDescent="0.25">
      <c r="A250" s="19" t="s">
        <v>1839</v>
      </c>
      <c r="B250" s="17" t="s">
        <v>1838</v>
      </c>
      <c r="C250" s="20">
        <v>1</v>
      </c>
      <c r="D250" s="18">
        <v>16.16</v>
      </c>
      <c r="E250" s="18">
        <v>41.3</v>
      </c>
      <c r="F250" s="20" t="s">
        <v>1835</v>
      </c>
      <c r="G250" s="17" t="s">
        <v>28</v>
      </c>
      <c r="H250" s="19" t="s">
        <v>69</v>
      </c>
      <c r="I250" s="18">
        <v>10.773333333333335</v>
      </c>
      <c r="J250" s="17" t="s">
        <v>42</v>
      </c>
      <c r="K250" s="17" t="s">
        <v>41</v>
      </c>
      <c r="L250" s="17"/>
      <c r="M250" s="17"/>
      <c r="N250" s="16" t="str">
        <f>HYPERLINK("http://slimages.macys.com/is/image/MCY/18545247 ")</f>
        <v xml:space="preserve">http://slimages.macys.com/is/image/MCY/18545247 </v>
      </c>
      <c r="O250" s="30"/>
    </row>
    <row r="251" spans="1:15" ht="48" x14ac:dyDescent="0.25">
      <c r="A251" s="19" t="s">
        <v>1837</v>
      </c>
      <c r="B251" s="17" t="s">
        <v>1836</v>
      </c>
      <c r="C251" s="20">
        <v>1</v>
      </c>
      <c r="D251" s="18">
        <v>16.16</v>
      </c>
      <c r="E251" s="18">
        <v>41.3</v>
      </c>
      <c r="F251" s="20" t="s">
        <v>1835</v>
      </c>
      <c r="G251" s="17" t="s">
        <v>28</v>
      </c>
      <c r="H251" s="19" t="s">
        <v>57</v>
      </c>
      <c r="I251" s="18">
        <v>10.773333333333335</v>
      </c>
      <c r="J251" s="17" t="s">
        <v>42</v>
      </c>
      <c r="K251" s="17" t="s">
        <v>41</v>
      </c>
      <c r="L251" s="17"/>
      <c r="M251" s="17"/>
      <c r="N251" s="16" t="str">
        <f>HYPERLINK("http://slimages.macys.com/is/image/MCY/18545247 ")</f>
        <v xml:space="preserve">http://slimages.macys.com/is/image/MCY/18545247 </v>
      </c>
      <c r="O251" s="30"/>
    </row>
    <row r="252" spans="1:15" ht="48" x14ac:dyDescent="0.25">
      <c r="A252" s="19" t="s">
        <v>1834</v>
      </c>
      <c r="B252" s="17" t="s">
        <v>1833</v>
      </c>
      <c r="C252" s="20">
        <v>1</v>
      </c>
      <c r="D252" s="18">
        <v>15.4</v>
      </c>
      <c r="E252" s="18">
        <v>54.5</v>
      </c>
      <c r="F252" s="20" t="s">
        <v>1832</v>
      </c>
      <c r="G252" s="17" t="s">
        <v>91</v>
      </c>
      <c r="H252" s="19" t="s">
        <v>682</v>
      </c>
      <c r="I252" s="18">
        <v>10.266666666666667</v>
      </c>
      <c r="J252" s="17" t="s">
        <v>68</v>
      </c>
      <c r="K252" s="17" t="s">
        <v>67</v>
      </c>
      <c r="L252" s="17" t="s">
        <v>389</v>
      </c>
      <c r="M252" s="17" t="s">
        <v>1804</v>
      </c>
      <c r="N252" s="16" t="str">
        <f>HYPERLINK("http://slimages.macys.com/is/image/MCY/1929248 ")</f>
        <v xml:space="preserve">http://slimages.macys.com/is/image/MCY/1929248 </v>
      </c>
      <c r="O252" s="30"/>
    </row>
    <row r="253" spans="1:15" ht="48" x14ac:dyDescent="0.25">
      <c r="A253" s="19" t="s">
        <v>1831</v>
      </c>
      <c r="B253" s="17" t="s">
        <v>1830</v>
      </c>
      <c r="C253" s="20">
        <v>1</v>
      </c>
      <c r="D253" s="18">
        <v>15.19</v>
      </c>
      <c r="E253" s="18">
        <v>49</v>
      </c>
      <c r="F253" s="20">
        <v>10804472</v>
      </c>
      <c r="G253" s="17" t="s">
        <v>578</v>
      </c>
      <c r="H253" s="19" t="s">
        <v>74</v>
      </c>
      <c r="I253" s="18">
        <v>10.126666666666667</v>
      </c>
      <c r="J253" s="17" t="s">
        <v>144</v>
      </c>
      <c r="K253" s="17" t="s">
        <v>143</v>
      </c>
      <c r="L253" s="17"/>
      <c r="M253" s="17"/>
      <c r="N253" s="16" t="str">
        <f>HYPERLINK("http://slimages.macys.com/is/image/MCY/19096167 ")</f>
        <v xml:space="preserve">http://slimages.macys.com/is/image/MCY/19096167 </v>
      </c>
      <c r="O253" s="30"/>
    </row>
    <row r="254" spans="1:15" ht="48" x14ac:dyDescent="0.25">
      <c r="A254" s="19" t="s">
        <v>1829</v>
      </c>
      <c r="B254" s="17" t="s">
        <v>1828</v>
      </c>
      <c r="C254" s="20">
        <v>1</v>
      </c>
      <c r="D254" s="18">
        <v>14.99</v>
      </c>
      <c r="E254" s="18">
        <v>54.5</v>
      </c>
      <c r="F254" s="20" t="s">
        <v>1827</v>
      </c>
      <c r="G254" s="17" t="s">
        <v>140</v>
      </c>
      <c r="H254" s="19" t="s">
        <v>271</v>
      </c>
      <c r="I254" s="18">
        <v>9.9933333333333341</v>
      </c>
      <c r="J254" s="17" t="s">
        <v>267</v>
      </c>
      <c r="K254" s="17" t="s">
        <v>32</v>
      </c>
      <c r="L254" s="17"/>
      <c r="M254" s="17"/>
      <c r="N254" s="16" t="str">
        <f>HYPERLINK("http://slimages.macys.com/is/image/MCY/19124153 ")</f>
        <v xml:space="preserve">http://slimages.macys.com/is/image/MCY/19124153 </v>
      </c>
      <c r="O254" s="30"/>
    </row>
    <row r="255" spans="1:15" ht="48" x14ac:dyDescent="0.25">
      <c r="A255" s="19" t="s">
        <v>1826</v>
      </c>
      <c r="B255" s="17" t="s">
        <v>1825</v>
      </c>
      <c r="C255" s="20">
        <v>1</v>
      </c>
      <c r="D255" s="18">
        <v>14.88</v>
      </c>
      <c r="E255" s="18">
        <v>59.5</v>
      </c>
      <c r="F255" s="20">
        <v>30165355</v>
      </c>
      <c r="G255" s="17" t="s">
        <v>23</v>
      </c>
      <c r="H255" s="19" t="s">
        <v>197</v>
      </c>
      <c r="I255" s="18">
        <v>9.92</v>
      </c>
      <c r="J255" s="17" t="s">
        <v>481</v>
      </c>
      <c r="K255" s="17" t="s">
        <v>480</v>
      </c>
      <c r="L255" s="17"/>
      <c r="M255" s="17"/>
      <c r="N255" s="16" t="str">
        <f>HYPERLINK("http://slimages.macys.com/is/image/MCY/21169553 ")</f>
        <v xml:space="preserve">http://slimages.macys.com/is/image/MCY/21169553 </v>
      </c>
      <c r="O255" s="30"/>
    </row>
    <row r="256" spans="1:15" ht="48" x14ac:dyDescent="0.25">
      <c r="A256" s="19" t="s">
        <v>1824</v>
      </c>
      <c r="B256" s="17" t="s">
        <v>1823</v>
      </c>
      <c r="C256" s="20">
        <v>3</v>
      </c>
      <c r="D256" s="18">
        <v>14.88</v>
      </c>
      <c r="E256" s="18">
        <v>59.5</v>
      </c>
      <c r="F256" s="20" t="s">
        <v>1822</v>
      </c>
      <c r="G256" s="17" t="s">
        <v>390</v>
      </c>
      <c r="H256" s="19" t="s">
        <v>62</v>
      </c>
      <c r="I256" s="18">
        <v>9.92</v>
      </c>
      <c r="J256" s="17" t="s">
        <v>56</v>
      </c>
      <c r="K256" s="17" t="s">
        <v>55</v>
      </c>
      <c r="L256" s="17"/>
      <c r="M256" s="17"/>
      <c r="N256" s="16" t="str">
        <f>HYPERLINK("http://slimages.macys.com/is/image/MCY/18780098 ")</f>
        <v xml:space="preserve">http://slimages.macys.com/is/image/MCY/18780098 </v>
      </c>
      <c r="O256" s="30"/>
    </row>
    <row r="257" spans="1:15" ht="48" x14ac:dyDescent="0.25">
      <c r="A257" s="19" t="s">
        <v>1821</v>
      </c>
      <c r="B257" s="17" t="s">
        <v>1820</v>
      </c>
      <c r="C257" s="20">
        <v>1</v>
      </c>
      <c r="D257" s="18">
        <v>14.7</v>
      </c>
      <c r="E257" s="18">
        <v>69</v>
      </c>
      <c r="F257" s="20" t="s">
        <v>1819</v>
      </c>
      <c r="G257" s="17" t="s">
        <v>23</v>
      </c>
      <c r="H257" s="19" t="s">
        <v>69</v>
      </c>
      <c r="I257" s="18">
        <v>9.8000000000000007</v>
      </c>
      <c r="J257" s="17" t="s">
        <v>405</v>
      </c>
      <c r="K257" s="17" t="s">
        <v>404</v>
      </c>
      <c r="L257" s="17"/>
      <c r="M257" s="17"/>
      <c r="N257" s="16" t="str">
        <f>HYPERLINK("http://slimages.macys.com/is/image/MCY/19043167 ")</f>
        <v xml:space="preserve">http://slimages.macys.com/is/image/MCY/19043167 </v>
      </c>
      <c r="O257" s="30"/>
    </row>
    <row r="258" spans="1:15" ht="48" x14ac:dyDescent="0.25">
      <c r="A258" s="19" t="s">
        <v>1818</v>
      </c>
      <c r="B258" s="17" t="s">
        <v>1817</v>
      </c>
      <c r="C258" s="20">
        <v>1</v>
      </c>
      <c r="D258" s="18">
        <v>14.7</v>
      </c>
      <c r="E258" s="18">
        <v>69</v>
      </c>
      <c r="F258" s="20" t="s">
        <v>1816</v>
      </c>
      <c r="G258" s="17" t="s">
        <v>1815</v>
      </c>
      <c r="H258" s="19" t="s">
        <v>57</v>
      </c>
      <c r="I258" s="18">
        <v>9.8000000000000007</v>
      </c>
      <c r="J258" s="17" t="s">
        <v>405</v>
      </c>
      <c r="K258" s="17" t="s">
        <v>404</v>
      </c>
      <c r="L258" s="17" t="s">
        <v>389</v>
      </c>
      <c r="M258" s="17" t="s">
        <v>1359</v>
      </c>
      <c r="N258" s="16" t="str">
        <f>HYPERLINK("http://slimages.macys.com/is/image/MCY/18636364 ")</f>
        <v xml:space="preserve">http://slimages.macys.com/is/image/MCY/18636364 </v>
      </c>
      <c r="O258" s="30"/>
    </row>
    <row r="259" spans="1:15" ht="48" x14ac:dyDescent="0.25">
      <c r="A259" s="19" t="s">
        <v>1814</v>
      </c>
      <c r="B259" s="17" t="s">
        <v>1813</v>
      </c>
      <c r="C259" s="20">
        <v>1</v>
      </c>
      <c r="D259" s="18">
        <v>14.56</v>
      </c>
      <c r="E259" s="18">
        <v>44</v>
      </c>
      <c r="F259" s="20" t="s">
        <v>1812</v>
      </c>
      <c r="G259" s="17" t="s">
        <v>433</v>
      </c>
      <c r="H259" s="19" t="s">
        <v>62</v>
      </c>
      <c r="I259" s="18">
        <v>9.706666666666667</v>
      </c>
      <c r="J259" s="17" t="s">
        <v>49</v>
      </c>
      <c r="K259" s="17" t="s">
        <v>48</v>
      </c>
      <c r="L259" s="17"/>
      <c r="M259" s="17"/>
      <c r="N259" s="16" t="str">
        <f>HYPERLINK("http://slimages.macys.com/is/image/MCY/18990163 ")</f>
        <v xml:space="preserve">http://slimages.macys.com/is/image/MCY/18990163 </v>
      </c>
      <c r="O259" s="30"/>
    </row>
    <row r="260" spans="1:15" ht="48" x14ac:dyDescent="0.25">
      <c r="A260" s="19" t="s">
        <v>1811</v>
      </c>
      <c r="B260" s="17" t="s">
        <v>1810</v>
      </c>
      <c r="C260" s="20">
        <v>1</v>
      </c>
      <c r="D260" s="18">
        <v>14</v>
      </c>
      <c r="E260" s="18">
        <v>59</v>
      </c>
      <c r="F260" s="20">
        <v>2331830</v>
      </c>
      <c r="G260" s="17" t="s">
        <v>63</v>
      </c>
      <c r="H260" s="19" t="s">
        <v>313</v>
      </c>
      <c r="I260" s="18">
        <v>9.3333333333333339</v>
      </c>
      <c r="J260" s="17" t="s">
        <v>80</v>
      </c>
      <c r="K260" s="17" t="s">
        <v>293</v>
      </c>
      <c r="L260" s="17"/>
      <c r="M260" s="17"/>
      <c r="N260" s="16" t="str">
        <f>HYPERLINK("http://slimages.macys.com/is/image/MCY/19226187 ")</f>
        <v xml:space="preserve">http://slimages.macys.com/is/image/MCY/19226187 </v>
      </c>
      <c r="O260" s="30"/>
    </row>
    <row r="261" spans="1:15" ht="48" x14ac:dyDescent="0.25">
      <c r="A261" s="19" t="s">
        <v>1809</v>
      </c>
      <c r="B261" s="17" t="s">
        <v>1808</v>
      </c>
      <c r="C261" s="20">
        <v>1</v>
      </c>
      <c r="D261" s="18">
        <v>14</v>
      </c>
      <c r="E261" s="18">
        <v>69</v>
      </c>
      <c r="F261" s="20">
        <v>2321810</v>
      </c>
      <c r="G261" s="17" t="s">
        <v>91</v>
      </c>
      <c r="H261" s="19" t="s">
        <v>313</v>
      </c>
      <c r="I261" s="18">
        <v>9.3333333333333339</v>
      </c>
      <c r="J261" s="17" t="s">
        <v>80</v>
      </c>
      <c r="K261" s="17" t="s">
        <v>293</v>
      </c>
      <c r="L261" s="17"/>
      <c r="M261" s="17"/>
      <c r="N261" s="16" t="str">
        <f>HYPERLINK("http://slimages.macys.com/is/image/MCY/18749699 ")</f>
        <v xml:space="preserve">http://slimages.macys.com/is/image/MCY/18749699 </v>
      </c>
      <c r="O261" s="30"/>
    </row>
    <row r="262" spans="1:15" ht="48" x14ac:dyDescent="0.25">
      <c r="A262" s="19" t="s">
        <v>1807</v>
      </c>
      <c r="B262" s="17" t="s">
        <v>1806</v>
      </c>
      <c r="C262" s="20">
        <v>1</v>
      </c>
      <c r="D262" s="18">
        <v>13.98</v>
      </c>
      <c r="E262" s="18">
        <v>49.5</v>
      </c>
      <c r="F262" s="20" t="s">
        <v>1805</v>
      </c>
      <c r="G262" s="17" t="s">
        <v>28</v>
      </c>
      <c r="H262" s="19" t="s">
        <v>62</v>
      </c>
      <c r="I262" s="18">
        <v>9.32</v>
      </c>
      <c r="J262" s="17" t="s">
        <v>68</v>
      </c>
      <c r="K262" s="17" t="s">
        <v>67</v>
      </c>
      <c r="L262" s="17" t="s">
        <v>389</v>
      </c>
      <c r="M262" s="17" t="s">
        <v>1804</v>
      </c>
      <c r="N262" s="16" t="str">
        <f>HYPERLINK("http://slimages.macys.com/is/image/MCY/14720389 ")</f>
        <v xml:space="preserve">http://slimages.macys.com/is/image/MCY/14720389 </v>
      </c>
      <c r="O262" s="30"/>
    </row>
    <row r="263" spans="1:15" ht="48" x14ac:dyDescent="0.25">
      <c r="A263" s="19" t="s">
        <v>1803</v>
      </c>
      <c r="B263" s="17" t="s">
        <v>1802</v>
      </c>
      <c r="C263" s="20">
        <v>1</v>
      </c>
      <c r="D263" s="18">
        <v>13.88</v>
      </c>
      <c r="E263" s="18">
        <v>35</v>
      </c>
      <c r="F263" s="20" t="s">
        <v>1801</v>
      </c>
      <c r="G263" s="17" t="s">
        <v>282</v>
      </c>
      <c r="H263" s="19" t="s">
        <v>22</v>
      </c>
      <c r="I263" s="18">
        <v>9.2533333333333339</v>
      </c>
      <c r="J263" s="17" t="s">
        <v>16</v>
      </c>
      <c r="K263" s="17" t="s">
        <v>15</v>
      </c>
      <c r="L263" s="17"/>
      <c r="M263" s="17"/>
      <c r="N263" s="16" t="str">
        <f>HYPERLINK("http://slimages.macys.com/is/image/MCY/18853792 ")</f>
        <v xml:space="preserve">http://slimages.macys.com/is/image/MCY/18853792 </v>
      </c>
      <c r="O263" s="30"/>
    </row>
    <row r="264" spans="1:15" ht="48" x14ac:dyDescent="0.25">
      <c r="A264" s="19" t="s">
        <v>1800</v>
      </c>
      <c r="B264" s="17" t="s">
        <v>1799</v>
      </c>
      <c r="C264" s="20">
        <v>1</v>
      </c>
      <c r="D264" s="18">
        <v>13.84</v>
      </c>
      <c r="E264" s="18">
        <v>49</v>
      </c>
      <c r="F264" s="20" t="s">
        <v>1798</v>
      </c>
      <c r="G264" s="17" t="s">
        <v>272</v>
      </c>
      <c r="H264" s="19" t="s">
        <v>69</v>
      </c>
      <c r="I264" s="18">
        <v>9.2266666666666666</v>
      </c>
      <c r="J264" s="17" t="s">
        <v>56</v>
      </c>
      <c r="K264" s="17" t="s">
        <v>55</v>
      </c>
      <c r="L264" s="17" t="s">
        <v>389</v>
      </c>
      <c r="M264" s="17" t="s">
        <v>1129</v>
      </c>
      <c r="N264" s="16" t="str">
        <f>HYPERLINK("http://slimages.macys.com/is/image/MCY/16140058 ")</f>
        <v xml:space="preserve">http://slimages.macys.com/is/image/MCY/16140058 </v>
      </c>
      <c r="O264" s="30"/>
    </row>
    <row r="265" spans="1:15" ht="48" x14ac:dyDescent="0.25">
      <c r="A265" s="19" t="s">
        <v>1797</v>
      </c>
      <c r="B265" s="17" t="s">
        <v>1796</v>
      </c>
      <c r="C265" s="20">
        <v>1</v>
      </c>
      <c r="D265" s="18">
        <v>13.42</v>
      </c>
      <c r="E265" s="18">
        <v>34.299999999999997</v>
      </c>
      <c r="F265" s="20" t="s">
        <v>1795</v>
      </c>
      <c r="G265" s="17" t="s">
        <v>23</v>
      </c>
      <c r="H265" s="19" t="s">
        <v>69</v>
      </c>
      <c r="I265" s="18">
        <v>8.9466666666666672</v>
      </c>
      <c r="J265" s="17" t="s">
        <v>42</v>
      </c>
      <c r="K265" s="17" t="s">
        <v>41</v>
      </c>
      <c r="L265" s="17"/>
      <c r="M265" s="17"/>
      <c r="N265" s="16" t="str">
        <f>HYPERLINK("http://slimages.macys.com/is/image/MCY/19187531 ")</f>
        <v xml:space="preserve">http://slimages.macys.com/is/image/MCY/19187531 </v>
      </c>
      <c r="O265" s="30"/>
    </row>
    <row r="266" spans="1:15" ht="48" x14ac:dyDescent="0.25">
      <c r="A266" s="19" t="s">
        <v>1794</v>
      </c>
      <c r="B266" s="17" t="s">
        <v>1793</v>
      </c>
      <c r="C266" s="20">
        <v>12</v>
      </c>
      <c r="D266" s="18">
        <v>13.04</v>
      </c>
      <c r="E266" s="18">
        <v>35</v>
      </c>
      <c r="F266" s="20" t="s">
        <v>1782</v>
      </c>
      <c r="G266" s="17" t="s">
        <v>23</v>
      </c>
      <c r="H266" s="19" t="s">
        <v>62</v>
      </c>
      <c r="I266" s="18">
        <v>8.6933333333333334</v>
      </c>
      <c r="J266" s="17" t="s">
        <v>16</v>
      </c>
      <c r="K266" s="17" t="s">
        <v>15</v>
      </c>
      <c r="L266" s="17"/>
      <c r="M266" s="17"/>
      <c r="N266" s="16" t="str">
        <f t="shared" ref="N266:N271" si="4">HYPERLINK("http://slimages.macys.com/is/image/MCY/18946114 ")</f>
        <v xml:space="preserve">http://slimages.macys.com/is/image/MCY/18946114 </v>
      </c>
      <c r="O266" s="30"/>
    </row>
    <row r="267" spans="1:15" ht="48" x14ac:dyDescent="0.25">
      <c r="A267" s="19" t="s">
        <v>1792</v>
      </c>
      <c r="B267" s="17" t="s">
        <v>1791</v>
      </c>
      <c r="C267" s="20">
        <v>8</v>
      </c>
      <c r="D267" s="18">
        <v>13.04</v>
      </c>
      <c r="E267" s="18">
        <v>35</v>
      </c>
      <c r="F267" s="20" t="s">
        <v>1782</v>
      </c>
      <c r="G267" s="17" t="s">
        <v>23</v>
      </c>
      <c r="H267" s="19" t="s">
        <v>50</v>
      </c>
      <c r="I267" s="18">
        <v>8.6933333333333334</v>
      </c>
      <c r="J267" s="17" t="s">
        <v>16</v>
      </c>
      <c r="K267" s="17" t="s">
        <v>15</v>
      </c>
      <c r="L267" s="17"/>
      <c r="M267" s="17"/>
      <c r="N267" s="16" t="str">
        <f t="shared" si="4"/>
        <v xml:space="preserve">http://slimages.macys.com/is/image/MCY/18946114 </v>
      </c>
      <c r="O267" s="30"/>
    </row>
    <row r="268" spans="1:15" ht="48" x14ac:dyDescent="0.25">
      <c r="A268" s="19" t="s">
        <v>1790</v>
      </c>
      <c r="B268" s="17" t="s">
        <v>1789</v>
      </c>
      <c r="C268" s="20">
        <v>8</v>
      </c>
      <c r="D268" s="18">
        <v>13.04</v>
      </c>
      <c r="E268" s="18">
        <v>35</v>
      </c>
      <c r="F268" s="20" t="s">
        <v>1782</v>
      </c>
      <c r="G268" s="17" t="s">
        <v>23</v>
      </c>
      <c r="H268" s="19" t="s">
        <v>17</v>
      </c>
      <c r="I268" s="18">
        <v>8.6933333333333334</v>
      </c>
      <c r="J268" s="17" t="s">
        <v>16</v>
      </c>
      <c r="K268" s="17" t="s">
        <v>15</v>
      </c>
      <c r="L268" s="17"/>
      <c r="M268" s="17"/>
      <c r="N268" s="16" t="str">
        <f t="shared" si="4"/>
        <v xml:space="preserve">http://slimages.macys.com/is/image/MCY/18946114 </v>
      </c>
      <c r="O268" s="30"/>
    </row>
    <row r="269" spans="1:15" ht="48" x14ac:dyDescent="0.25">
      <c r="A269" s="19" t="s">
        <v>1788</v>
      </c>
      <c r="B269" s="17" t="s">
        <v>1787</v>
      </c>
      <c r="C269" s="20">
        <v>13</v>
      </c>
      <c r="D269" s="18">
        <v>13.04</v>
      </c>
      <c r="E269" s="18">
        <v>35</v>
      </c>
      <c r="F269" s="20" t="s">
        <v>1782</v>
      </c>
      <c r="G269" s="17" t="s">
        <v>23</v>
      </c>
      <c r="H269" s="19" t="s">
        <v>101</v>
      </c>
      <c r="I269" s="18">
        <v>8.6933333333333334</v>
      </c>
      <c r="J269" s="17" t="s">
        <v>16</v>
      </c>
      <c r="K269" s="17" t="s">
        <v>15</v>
      </c>
      <c r="L269" s="17"/>
      <c r="M269" s="17"/>
      <c r="N269" s="16" t="str">
        <f t="shared" si="4"/>
        <v xml:space="preserve">http://slimages.macys.com/is/image/MCY/18946114 </v>
      </c>
      <c r="O269" s="30"/>
    </row>
    <row r="270" spans="1:15" ht="48" x14ac:dyDescent="0.25">
      <c r="A270" s="19" t="s">
        <v>1786</v>
      </c>
      <c r="B270" s="17" t="s">
        <v>1785</v>
      </c>
      <c r="C270" s="20">
        <v>7</v>
      </c>
      <c r="D270" s="18">
        <v>13.04</v>
      </c>
      <c r="E270" s="18">
        <v>35</v>
      </c>
      <c r="F270" s="20" t="s">
        <v>1782</v>
      </c>
      <c r="G270" s="17" t="s">
        <v>23</v>
      </c>
      <c r="H270" s="19" t="s">
        <v>27</v>
      </c>
      <c r="I270" s="18">
        <v>8.6933333333333334</v>
      </c>
      <c r="J270" s="17" t="s">
        <v>16</v>
      </c>
      <c r="K270" s="17" t="s">
        <v>15</v>
      </c>
      <c r="L270" s="17"/>
      <c r="M270" s="17"/>
      <c r="N270" s="16" t="str">
        <f t="shared" si="4"/>
        <v xml:space="preserve">http://slimages.macys.com/is/image/MCY/18946114 </v>
      </c>
      <c r="O270" s="30"/>
    </row>
    <row r="271" spans="1:15" ht="48" x14ac:dyDescent="0.25">
      <c r="A271" s="19" t="s">
        <v>1784</v>
      </c>
      <c r="B271" s="17" t="s">
        <v>1783</v>
      </c>
      <c r="C271" s="20">
        <v>9</v>
      </c>
      <c r="D271" s="18">
        <v>13.04</v>
      </c>
      <c r="E271" s="18">
        <v>35</v>
      </c>
      <c r="F271" s="20" t="s">
        <v>1782</v>
      </c>
      <c r="G271" s="17" t="s">
        <v>23</v>
      </c>
      <c r="H271" s="19" t="s">
        <v>22</v>
      </c>
      <c r="I271" s="18">
        <v>8.6933333333333334</v>
      </c>
      <c r="J271" s="17" t="s">
        <v>16</v>
      </c>
      <c r="K271" s="17" t="s">
        <v>15</v>
      </c>
      <c r="L271" s="17"/>
      <c r="M271" s="17"/>
      <c r="N271" s="16" t="str">
        <f t="shared" si="4"/>
        <v xml:space="preserve">http://slimages.macys.com/is/image/MCY/18946114 </v>
      </c>
      <c r="O271" s="30"/>
    </row>
    <row r="272" spans="1:15" ht="48" x14ac:dyDescent="0.25">
      <c r="A272" s="19" t="s">
        <v>1781</v>
      </c>
      <c r="B272" s="17" t="s">
        <v>1780</v>
      </c>
      <c r="C272" s="20">
        <v>1</v>
      </c>
      <c r="D272" s="18">
        <v>12.5</v>
      </c>
      <c r="E272" s="18">
        <v>59</v>
      </c>
      <c r="F272" s="20">
        <v>2360615</v>
      </c>
      <c r="G272" s="17" t="s">
        <v>282</v>
      </c>
      <c r="H272" s="19" t="s">
        <v>101</v>
      </c>
      <c r="I272" s="18">
        <v>8.3333333333333339</v>
      </c>
      <c r="J272" s="17" t="s">
        <v>80</v>
      </c>
      <c r="K272" s="17" t="s">
        <v>293</v>
      </c>
      <c r="L272" s="17"/>
      <c r="M272" s="17"/>
      <c r="N272" s="16" t="str">
        <f>HYPERLINK("http://slimages.macys.com/is/image/MCY/18332229 ")</f>
        <v xml:space="preserve">http://slimages.macys.com/is/image/MCY/18332229 </v>
      </c>
      <c r="O272" s="30"/>
    </row>
    <row r="273" spans="1:15" ht="60" x14ac:dyDescent="0.25">
      <c r="A273" s="19" t="s">
        <v>1779</v>
      </c>
      <c r="B273" s="17" t="s">
        <v>1778</v>
      </c>
      <c r="C273" s="20">
        <v>1</v>
      </c>
      <c r="D273" s="18">
        <v>12.48</v>
      </c>
      <c r="E273" s="18">
        <v>48</v>
      </c>
      <c r="F273" s="20">
        <v>30083438</v>
      </c>
      <c r="G273" s="17" t="s">
        <v>575</v>
      </c>
      <c r="H273" s="19" t="s">
        <v>116</v>
      </c>
      <c r="I273" s="18">
        <v>8.32</v>
      </c>
      <c r="J273" s="17" t="s">
        <v>1777</v>
      </c>
      <c r="K273" s="17" t="s">
        <v>1776</v>
      </c>
      <c r="L273" s="17"/>
      <c r="M273" s="17"/>
      <c r="N273" s="16" t="str">
        <f>HYPERLINK("http://slimages.macys.com/is/image/MCY/19118154 ")</f>
        <v xml:space="preserve">http://slimages.macys.com/is/image/MCY/19118154 </v>
      </c>
      <c r="O273" s="30"/>
    </row>
    <row r="274" spans="1:15" ht="60" x14ac:dyDescent="0.25">
      <c r="A274" s="19" t="s">
        <v>1775</v>
      </c>
      <c r="B274" s="17" t="s">
        <v>1774</v>
      </c>
      <c r="C274" s="20">
        <v>1</v>
      </c>
      <c r="D274" s="18">
        <v>12.32</v>
      </c>
      <c r="E274" s="18">
        <v>44</v>
      </c>
      <c r="F274" s="20" t="s">
        <v>1773</v>
      </c>
      <c r="G274" s="17" t="s">
        <v>58</v>
      </c>
      <c r="H274" s="19" t="s">
        <v>197</v>
      </c>
      <c r="I274" s="18">
        <v>8.2133333333333329</v>
      </c>
      <c r="J274" s="17" t="s">
        <v>80</v>
      </c>
      <c r="K274" s="17" t="s">
        <v>183</v>
      </c>
      <c r="L274" s="17"/>
      <c r="M274" s="17"/>
      <c r="N274" s="16" t="str">
        <f>HYPERLINK("http://slimages.macys.com/is/image/MCY/19735596 ")</f>
        <v xml:space="preserve">http://slimages.macys.com/is/image/MCY/19735596 </v>
      </c>
      <c r="O274" s="30"/>
    </row>
    <row r="275" spans="1:15" ht="48" x14ac:dyDescent="0.25">
      <c r="A275" s="19" t="s">
        <v>1772</v>
      </c>
      <c r="B275" s="17" t="s">
        <v>1771</v>
      </c>
      <c r="C275" s="20">
        <v>1</v>
      </c>
      <c r="D275" s="18">
        <v>12</v>
      </c>
      <c r="E275" s="18">
        <v>39</v>
      </c>
      <c r="F275" s="20">
        <v>2321610</v>
      </c>
      <c r="G275" s="17" t="s">
        <v>28</v>
      </c>
      <c r="H275" s="19" t="s">
        <v>22</v>
      </c>
      <c r="I275" s="18">
        <v>8</v>
      </c>
      <c r="J275" s="17" t="s">
        <v>80</v>
      </c>
      <c r="K275" s="17" t="s">
        <v>293</v>
      </c>
      <c r="L275" s="17"/>
      <c r="M275" s="17"/>
      <c r="N275" s="16" t="str">
        <f>HYPERLINK("http://slimages.macys.com/is/image/MCY/18605643 ")</f>
        <v xml:space="preserve">http://slimages.macys.com/is/image/MCY/18605643 </v>
      </c>
      <c r="O275" s="30"/>
    </row>
    <row r="276" spans="1:15" ht="60" x14ac:dyDescent="0.25">
      <c r="A276" s="19" t="s">
        <v>1770</v>
      </c>
      <c r="B276" s="17" t="s">
        <v>1769</v>
      </c>
      <c r="C276" s="20">
        <v>1</v>
      </c>
      <c r="D276" s="18">
        <v>11.94</v>
      </c>
      <c r="E276" s="18">
        <v>39.5</v>
      </c>
      <c r="F276" s="20" t="s">
        <v>1768</v>
      </c>
      <c r="G276" s="17" t="s">
        <v>433</v>
      </c>
      <c r="H276" s="19" t="s">
        <v>69</v>
      </c>
      <c r="I276" s="18">
        <v>7.96</v>
      </c>
      <c r="J276" s="17" t="s">
        <v>106</v>
      </c>
      <c r="K276" s="17" t="s">
        <v>105</v>
      </c>
      <c r="L276" s="17"/>
      <c r="M276" s="17"/>
      <c r="N276" s="16" t="str">
        <f>HYPERLINK("http://slimages.macys.com/is/image/MCY/19193336 ")</f>
        <v xml:space="preserve">http://slimages.macys.com/is/image/MCY/19193336 </v>
      </c>
      <c r="O276" s="30"/>
    </row>
    <row r="277" spans="1:15" ht="48" x14ac:dyDescent="0.25">
      <c r="A277" s="19" t="s">
        <v>1767</v>
      </c>
      <c r="B277" s="17" t="s">
        <v>1766</v>
      </c>
      <c r="C277" s="20">
        <v>10</v>
      </c>
      <c r="D277" s="18">
        <v>11.8</v>
      </c>
      <c r="E277" s="18">
        <v>30</v>
      </c>
      <c r="F277" s="20" t="s">
        <v>1765</v>
      </c>
      <c r="G277" s="17" t="s">
        <v>51</v>
      </c>
      <c r="H277" s="19" t="s">
        <v>22</v>
      </c>
      <c r="I277" s="18">
        <v>7.8666666666666663</v>
      </c>
      <c r="J277" s="17" t="s">
        <v>16</v>
      </c>
      <c r="K277" s="17" t="s">
        <v>15</v>
      </c>
      <c r="L277" s="17"/>
      <c r="M277" s="17"/>
      <c r="N277" s="16" t="str">
        <f>HYPERLINK("http://slimages.macys.com/is/image/MCY/19545100 ")</f>
        <v xml:space="preserve">http://slimages.macys.com/is/image/MCY/19545100 </v>
      </c>
      <c r="O277" s="30"/>
    </row>
    <row r="278" spans="1:15" ht="48" x14ac:dyDescent="0.25">
      <c r="A278" s="19" t="s">
        <v>1764</v>
      </c>
      <c r="B278" s="17" t="s">
        <v>1763</v>
      </c>
      <c r="C278" s="20">
        <v>5</v>
      </c>
      <c r="D278" s="18">
        <v>11.33</v>
      </c>
      <c r="E278" s="18">
        <v>30</v>
      </c>
      <c r="F278" s="20" t="s">
        <v>1746</v>
      </c>
      <c r="G278" s="17" t="s">
        <v>149</v>
      </c>
      <c r="H278" s="19" t="s">
        <v>50</v>
      </c>
      <c r="I278" s="18">
        <v>7.5533333333333337</v>
      </c>
      <c r="J278" s="17" t="s">
        <v>16</v>
      </c>
      <c r="K278" s="17" t="s">
        <v>15</v>
      </c>
      <c r="L278" s="17"/>
      <c r="M278" s="17"/>
      <c r="N278" s="16" t="str">
        <f>HYPERLINK("http://slimages.macys.com/is/image/MCY/19026246 ")</f>
        <v xml:space="preserve">http://slimages.macys.com/is/image/MCY/19026246 </v>
      </c>
      <c r="O278" s="30"/>
    </row>
    <row r="279" spans="1:15" ht="48" x14ac:dyDescent="0.25">
      <c r="A279" s="19" t="s">
        <v>1762</v>
      </c>
      <c r="B279" s="17" t="s">
        <v>1761</v>
      </c>
      <c r="C279" s="20">
        <v>1</v>
      </c>
      <c r="D279" s="18">
        <v>11.33</v>
      </c>
      <c r="E279" s="18">
        <v>30</v>
      </c>
      <c r="F279" s="20" t="s">
        <v>226</v>
      </c>
      <c r="G279" s="17" t="s">
        <v>51</v>
      </c>
      <c r="H279" s="19" t="s">
        <v>27</v>
      </c>
      <c r="I279" s="18">
        <v>7.5533333333333337</v>
      </c>
      <c r="J279" s="17" t="s">
        <v>16</v>
      </c>
      <c r="K279" s="17" t="s">
        <v>15</v>
      </c>
      <c r="L279" s="17"/>
      <c r="M279" s="17"/>
      <c r="N279" s="16" t="str">
        <f>HYPERLINK("http://slimages.macys.com/is/image/MCY/19060580 ")</f>
        <v xml:space="preserve">http://slimages.macys.com/is/image/MCY/19060580 </v>
      </c>
      <c r="O279" s="30"/>
    </row>
    <row r="280" spans="1:15" ht="48" x14ac:dyDescent="0.25">
      <c r="A280" s="19" t="s">
        <v>1760</v>
      </c>
      <c r="B280" s="17" t="s">
        <v>1759</v>
      </c>
      <c r="C280" s="20">
        <v>11</v>
      </c>
      <c r="D280" s="18">
        <v>11.33</v>
      </c>
      <c r="E280" s="18">
        <v>30</v>
      </c>
      <c r="F280" s="20" t="s">
        <v>1746</v>
      </c>
      <c r="G280" s="17" t="s">
        <v>149</v>
      </c>
      <c r="H280" s="19" t="s">
        <v>27</v>
      </c>
      <c r="I280" s="18">
        <v>7.5533333333333337</v>
      </c>
      <c r="J280" s="17" t="s">
        <v>16</v>
      </c>
      <c r="K280" s="17" t="s">
        <v>15</v>
      </c>
      <c r="L280" s="17"/>
      <c r="M280" s="17"/>
      <c r="N280" s="16" t="str">
        <f>HYPERLINK("http://slimages.macys.com/is/image/MCY/19026246 ")</f>
        <v xml:space="preserve">http://slimages.macys.com/is/image/MCY/19026246 </v>
      </c>
      <c r="O280" s="30"/>
    </row>
    <row r="281" spans="1:15" ht="48" x14ac:dyDescent="0.25">
      <c r="A281" s="19" t="s">
        <v>1758</v>
      </c>
      <c r="B281" s="17" t="s">
        <v>1757</v>
      </c>
      <c r="C281" s="20">
        <v>8</v>
      </c>
      <c r="D281" s="18">
        <v>11.33</v>
      </c>
      <c r="E281" s="18">
        <v>30</v>
      </c>
      <c r="F281" s="20" t="s">
        <v>1746</v>
      </c>
      <c r="G281" s="17" t="s">
        <v>149</v>
      </c>
      <c r="H281" s="19" t="s">
        <v>17</v>
      </c>
      <c r="I281" s="18">
        <v>7.5533333333333337</v>
      </c>
      <c r="J281" s="17" t="s">
        <v>16</v>
      </c>
      <c r="K281" s="17" t="s">
        <v>15</v>
      </c>
      <c r="L281" s="17"/>
      <c r="M281" s="17"/>
      <c r="N281" s="16" t="str">
        <f>HYPERLINK("http://slimages.macys.com/is/image/MCY/19026246 ")</f>
        <v xml:space="preserve">http://slimages.macys.com/is/image/MCY/19026246 </v>
      </c>
      <c r="O281" s="30"/>
    </row>
    <row r="282" spans="1:15" ht="48" x14ac:dyDescent="0.25">
      <c r="A282" s="19" t="s">
        <v>1756</v>
      </c>
      <c r="B282" s="17" t="s">
        <v>1755</v>
      </c>
      <c r="C282" s="20">
        <v>4</v>
      </c>
      <c r="D282" s="18">
        <v>11.33</v>
      </c>
      <c r="E282" s="18">
        <v>30</v>
      </c>
      <c r="F282" s="20" t="s">
        <v>1746</v>
      </c>
      <c r="G282" s="17" t="s">
        <v>149</v>
      </c>
      <c r="H282" s="19" t="s">
        <v>22</v>
      </c>
      <c r="I282" s="18">
        <v>7.5533333333333337</v>
      </c>
      <c r="J282" s="17" t="s">
        <v>16</v>
      </c>
      <c r="K282" s="17" t="s">
        <v>15</v>
      </c>
      <c r="L282" s="17"/>
      <c r="M282" s="17"/>
      <c r="N282" s="16" t="str">
        <f>HYPERLINK("http://slimages.macys.com/is/image/MCY/19026246 ")</f>
        <v xml:space="preserve">http://slimages.macys.com/is/image/MCY/19026246 </v>
      </c>
      <c r="O282" s="30"/>
    </row>
    <row r="283" spans="1:15" ht="48" x14ac:dyDescent="0.25">
      <c r="A283" s="19" t="s">
        <v>1754</v>
      </c>
      <c r="B283" s="17" t="s">
        <v>1753</v>
      </c>
      <c r="C283" s="20">
        <v>3</v>
      </c>
      <c r="D283" s="18">
        <v>11.33</v>
      </c>
      <c r="E283" s="18">
        <v>30</v>
      </c>
      <c r="F283" s="20" t="s">
        <v>1746</v>
      </c>
      <c r="G283" s="17" t="s">
        <v>149</v>
      </c>
      <c r="H283" s="19" t="s">
        <v>101</v>
      </c>
      <c r="I283" s="18">
        <v>7.5533333333333337</v>
      </c>
      <c r="J283" s="17" t="s">
        <v>16</v>
      </c>
      <c r="K283" s="17" t="s">
        <v>15</v>
      </c>
      <c r="L283" s="17"/>
      <c r="M283" s="17"/>
      <c r="N283" s="16" t="str">
        <f>HYPERLINK("http://slimages.macys.com/is/image/MCY/19026246 ")</f>
        <v xml:space="preserve">http://slimages.macys.com/is/image/MCY/19026246 </v>
      </c>
      <c r="O283" s="30"/>
    </row>
    <row r="284" spans="1:15" ht="48" x14ac:dyDescent="0.25">
      <c r="A284" s="19" t="s">
        <v>1752</v>
      </c>
      <c r="B284" s="17" t="s">
        <v>1751</v>
      </c>
      <c r="C284" s="20">
        <v>7</v>
      </c>
      <c r="D284" s="18">
        <v>11.33</v>
      </c>
      <c r="E284" s="18">
        <v>30</v>
      </c>
      <c r="F284" s="20" t="s">
        <v>226</v>
      </c>
      <c r="G284" s="17" t="s">
        <v>51</v>
      </c>
      <c r="H284" s="19" t="s">
        <v>22</v>
      </c>
      <c r="I284" s="18">
        <v>7.5533333333333337</v>
      </c>
      <c r="J284" s="17" t="s">
        <v>16</v>
      </c>
      <c r="K284" s="17" t="s">
        <v>15</v>
      </c>
      <c r="L284" s="17"/>
      <c r="M284" s="17"/>
      <c r="N284" s="16" t="str">
        <f>HYPERLINK("http://slimages.macys.com/is/image/MCY/19060580 ")</f>
        <v xml:space="preserve">http://slimages.macys.com/is/image/MCY/19060580 </v>
      </c>
      <c r="O284" s="30"/>
    </row>
    <row r="285" spans="1:15" ht="48" x14ac:dyDescent="0.25">
      <c r="A285" s="19" t="s">
        <v>1750</v>
      </c>
      <c r="B285" s="17" t="s">
        <v>1749</v>
      </c>
      <c r="C285" s="20">
        <v>4</v>
      </c>
      <c r="D285" s="18">
        <v>11.33</v>
      </c>
      <c r="E285" s="18">
        <v>30</v>
      </c>
      <c r="F285" s="20" t="s">
        <v>226</v>
      </c>
      <c r="G285" s="17" t="s">
        <v>51</v>
      </c>
      <c r="H285" s="19" t="s">
        <v>62</v>
      </c>
      <c r="I285" s="18">
        <v>7.5533333333333337</v>
      </c>
      <c r="J285" s="17" t="s">
        <v>16</v>
      </c>
      <c r="K285" s="17" t="s">
        <v>15</v>
      </c>
      <c r="L285" s="17"/>
      <c r="M285" s="17"/>
      <c r="N285" s="16" t="str">
        <f>HYPERLINK("http://slimages.macys.com/is/image/MCY/19060580 ")</f>
        <v xml:space="preserve">http://slimages.macys.com/is/image/MCY/19060580 </v>
      </c>
      <c r="O285" s="30"/>
    </row>
    <row r="286" spans="1:15" ht="48" x14ac:dyDescent="0.25">
      <c r="A286" s="19" t="s">
        <v>1748</v>
      </c>
      <c r="B286" s="17" t="s">
        <v>1747</v>
      </c>
      <c r="C286" s="20">
        <v>2</v>
      </c>
      <c r="D286" s="18">
        <v>11.33</v>
      </c>
      <c r="E286" s="18">
        <v>30</v>
      </c>
      <c r="F286" s="20" t="s">
        <v>1746</v>
      </c>
      <c r="G286" s="17" t="s">
        <v>149</v>
      </c>
      <c r="H286" s="19" t="s">
        <v>62</v>
      </c>
      <c r="I286" s="18">
        <v>7.5533333333333337</v>
      </c>
      <c r="J286" s="17" t="s">
        <v>16</v>
      </c>
      <c r="K286" s="17" t="s">
        <v>15</v>
      </c>
      <c r="L286" s="17"/>
      <c r="M286" s="17"/>
      <c r="N286" s="16" t="str">
        <f>HYPERLINK("http://slimages.macys.com/is/image/MCY/19026246 ")</f>
        <v xml:space="preserve">http://slimages.macys.com/is/image/MCY/19026246 </v>
      </c>
      <c r="O286" s="30"/>
    </row>
    <row r="287" spans="1:15" ht="48" x14ac:dyDescent="0.25">
      <c r="A287" s="19" t="s">
        <v>1745</v>
      </c>
      <c r="B287" s="17" t="s">
        <v>1744</v>
      </c>
      <c r="C287" s="20">
        <v>1</v>
      </c>
      <c r="D287" s="18">
        <v>11.25</v>
      </c>
      <c r="E287" s="18">
        <v>34</v>
      </c>
      <c r="F287" s="20" t="s">
        <v>220</v>
      </c>
      <c r="G287" s="17" t="s">
        <v>164</v>
      </c>
      <c r="H287" s="19" t="s">
        <v>22</v>
      </c>
      <c r="I287" s="18">
        <v>7.5</v>
      </c>
      <c r="J287" s="17" t="s">
        <v>49</v>
      </c>
      <c r="K287" s="17" t="s">
        <v>48</v>
      </c>
      <c r="L287" s="17"/>
      <c r="M287" s="17"/>
      <c r="N287" s="16" t="str">
        <f>HYPERLINK("http://slimages.macys.com/is/image/MCY/16502033 ")</f>
        <v xml:space="preserve">http://slimages.macys.com/is/image/MCY/16502033 </v>
      </c>
      <c r="O287" s="30"/>
    </row>
    <row r="288" spans="1:15" ht="48" x14ac:dyDescent="0.25">
      <c r="A288" s="19" t="s">
        <v>1743</v>
      </c>
      <c r="B288" s="17" t="s">
        <v>1742</v>
      </c>
      <c r="C288" s="20">
        <v>1</v>
      </c>
      <c r="D288" s="18">
        <v>11.25</v>
      </c>
      <c r="E288" s="18">
        <v>34</v>
      </c>
      <c r="F288" s="20" t="s">
        <v>220</v>
      </c>
      <c r="G288" s="17" t="s">
        <v>164</v>
      </c>
      <c r="H288" s="19" t="s">
        <v>62</v>
      </c>
      <c r="I288" s="18">
        <v>7.5</v>
      </c>
      <c r="J288" s="17" t="s">
        <v>49</v>
      </c>
      <c r="K288" s="17" t="s">
        <v>48</v>
      </c>
      <c r="L288" s="17"/>
      <c r="M288" s="17"/>
      <c r="N288" s="16" t="str">
        <f>HYPERLINK("http://slimages.macys.com/is/image/MCY/18535117 ")</f>
        <v xml:space="preserve">http://slimages.macys.com/is/image/MCY/18535117 </v>
      </c>
      <c r="O288" s="30"/>
    </row>
    <row r="289" spans="1:15" ht="48" x14ac:dyDescent="0.25">
      <c r="A289" s="19" t="s">
        <v>1741</v>
      </c>
      <c r="B289" s="17" t="s">
        <v>1740</v>
      </c>
      <c r="C289" s="20">
        <v>1</v>
      </c>
      <c r="D289" s="18">
        <v>11.25</v>
      </c>
      <c r="E289" s="18">
        <v>34</v>
      </c>
      <c r="F289" s="20" t="s">
        <v>220</v>
      </c>
      <c r="G289" s="17" t="s">
        <v>164</v>
      </c>
      <c r="H289" s="19" t="s">
        <v>101</v>
      </c>
      <c r="I289" s="18">
        <v>7.5</v>
      </c>
      <c r="J289" s="17" t="s">
        <v>49</v>
      </c>
      <c r="K289" s="17" t="s">
        <v>48</v>
      </c>
      <c r="L289" s="17"/>
      <c r="M289" s="17"/>
      <c r="N289" s="16" t="str">
        <f>HYPERLINK("http://slimages.macys.com/is/image/MCY/18535117 ")</f>
        <v xml:space="preserve">http://slimages.macys.com/is/image/MCY/18535117 </v>
      </c>
      <c r="O289" s="30"/>
    </row>
    <row r="290" spans="1:15" ht="48" x14ac:dyDescent="0.25">
      <c r="A290" s="19" t="s">
        <v>1739</v>
      </c>
      <c r="B290" s="17" t="s">
        <v>1738</v>
      </c>
      <c r="C290" s="20">
        <v>1</v>
      </c>
      <c r="D290" s="18">
        <v>11.16</v>
      </c>
      <c r="E290" s="18">
        <v>39.5</v>
      </c>
      <c r="F290" s="20" t="s">
        <v>1005</v>
      </c>
      <c r="G290" s="17" t="s">
        <v>23</v>
      </c>
      <c r="H290" s="19" t="s">
        <v>57</v>
      </c>
      <c r="I290" s="18">
        <v>7.4400000000000013</v>
      </c>
      <c r="J290" s="17" t="s">
        <v>56</v>
      </c>
      <c r="K290" s="17" t="s">
        <v>55</v>
      </c>
      <c r="L290" s="17"/>
      <c r="M290" s="17"/>
      <c r="N290" s="16" t="str">
        <f>HYPERLINK("http://slimages.macys.com/is/image/MCY/19179628 ")</f>
        <v xml:space="preserve">http://slimages.macys.com/is/image/MCY/19179628 </v>
      </c>
      <c r="O290" s="30"/>
    </row>
    <row r="291" spans="1:15" ht="48" x14ac:dyDescent="0.25">
      <c r="A291" s="19" t="s">
        <v>1004</v>
      </c>
      <c r="B291" s="17" t="s">
        <v>1003</v>
      </c>
      <c r="C291" s="20">
        <v>1</v>
      </c>
      <c r="D291" s="18">
        <v>11.16</v>
      </c>
      <c r="E291" s="18">
        <v>39.5</v>
      </c>
      <c r="F291" s="20" t="s">
        <v>213</v>
      </c>
      <c r="G291" s="17" t="s">
        <v>63</v>
      </c>
      <c r="H291" s="19" t="s">
        <v>197</v>
      </c>
      <c r="I291" s="18">
        <v>7.4400000000000013</v>
      </c>
      <c r="J291" s="17" t="s">
        <v>56</v>
      </c>
      <c r="K291" s="17" t="s">
        <v>55</v>
      </c>
      <c r="L291" s="17"/>
      <c r="M291" s="17"/>
      <c r="N291" s="16" t="str">
        <f>HYPERLINK("http://slimages.macys.com/is/image/MCY/19179536 ")</f>
        <v xml:space="preserve">http://slimages.macys.com/is/image/MCY/19179536 </v>
      </c>
      <c r="O291" s="30"/>
    </row>
    <row r="292" spans="1:15" ht="48" x14ac:dyDescent="0.25">
      <c r="A292" s="19" t="s">
        <v>1737</v>
      </c>
      <c r="B292" s="17" t="s">
        <v>1736</v>
      </c>
      <c r="C292" s="20">
        <v>10</v>
      </c>
      <c r="D292" s="18">
        <v>11.16</v>
      </c>
      <c r="E292" s="18">
        <v>39.5</v>
      </c>
      <c r="F292" s="20" t="s">
        <v>1713</v>
      </c>
      <c r="G292" s="17" t="s">
        <v>51</v>
      </c>
      <c r="H292" s="19" t="s">
        <v>197</v>
      </c>
      <c r="I292" s="18">
        <v>7.4400000000000013</v>
      </c>
      <c r="J292" s="17" t="s">
        <v>56</v>
      </c>
      <c r="K292" s="17" t="s">
        <v>55</v>
      </c>
      <c r="L292" s="17"/>
      <c r="M292" s="17"/>
      <c r="N292" s="16" t="str">
        <f>HYPERLINK("http://slimages.macys.com/is/image/MCY/19182945 ")</f>
        <v xml:space="preserve">http://slimages.macys.com/is/image/MCY/19182945 </v>
      </c>
      <c r="O292" s="30"/>
    </row>
    <row r="293" spans="1:15" ht="48" x14ac:dyDescent="0.25">
      <c r="A293" s="19" t="s">
        <v>1735</v>
      </c>
      <c r="B293" s="17" t="s">
        <v>1734</v>
      </c>
      <c r="C293" s="20">
        <v>6</v>
      </c>
      <c r="D293" s="18">
        <v>11.16</v>
      </c>
      <c r="E293" s="18">
        <v>39.5</v>
      </c>
      <c r="F293" s="20" t="s">
        <v>1713</v>
      </c>
      <c r="G293" s="17" t="s">
        <v>51</v>
      </c>
      <c r="H293" s="19" t="s">
        <v>57</v>
      </c>
      <c r="I293" s="18">
        <v>7.4400000000000013</v>
      </c>
      <c r="J293" s="17" t="s">
        <v>56</v>
      </c>
      <c r="K293" s="17" t="s">
        <v>55</v>
      </c>
      <c r="L293" s="17"/>
      <c r="M293" s="17"/>
      <c r="N293" s="16" t="str">
        <f>HYPERLINK("http://slimages.macys.com/is/image/MCY/19182945 ")</f>
        <v xml:space="preserve">http://slimages.macys.com/is/image/MCY/19182945 </v>
      </c>
      <c r="O293" s="30"/>
    </row>
    <row r="294" spans="1:15" ht="48" x14ac:dyDescent="0.25">
      <c r="A294" s="19" t="s">
        <v>1733</v>
      </c>
      <c r="B294" s="17" t="s">
        <v>1732</v>
      </c>
      <c r="C294" s="20">
        <v>1</v>
      </c>
      <c r="D294" s="18">
        <v>11.16</v>
      </c>
      <c r="E294" s="18">
        <v>39.5</v>
      </c>
      <c r="F294" s="20" t="s">
        <v>1731</v>
      </c>
      <c r="G294" s="17" t="s">
        <v>23</v>
      </c>
      <c r="H294" s="19" t="s">
        <v>74</v>
      </c>
      <c r="I294" s="18">
        <v>7.4400000000000013</v>
      </c>
      <c r="J294" s="17" t="s">
        <v>56</v>
      </c>
      <c r="K294" s="17" t="s">
        <v>55</v>
      </c>
      <c r="L294" s="17"/>
      <c r="M294" s="17"/>
      <c r="N294" s="16" t="str">
        <f>HYPERLINK("http://slimages.macys.com/is/image/MCY/18372028 ")</f>
        <v xml:space="preserve">http://slimages.macys.com/is/image/MCY/18372028 </v>
      </c>
      <c r="O294" s="30"/>
    </row>
    <row r="295" spans="1:15" ht="48" x14ac:dyDescent="0.25">
      <c r="A295" s="19" t="s">
        <v>1730</v>
      </c>
      <c r="B295" s="17" t="s">
        <v>1729</v>
      </c>
      <c r="C295" s="20">
        <v>2</v>
      </c>
      <c r="D295" s="18">
        <v>11.16</v>
      </c>
      <c r="E295" s="18">
        <v>39.5</v>
      </c>
      <c r="F295" s="20" t="s">
        <v>1728</v>
      </c>
      <c r="G295" s="17" t="s">
        <v>63</v>
      </c>
      <c r="H295" s="19" t="s">
        <v>197</v>
      </c>
      <c r="I295" s="18">
        <v>7.4400000000000013</v>
      </c>
      <c r="J295" s="17" t="s">
        <v>68</v>
      </c>
      <c r="K295" s="17" t="s">
        <v>67</v>
      </c>
      <c r="L295" s="17" t="s">
        <v>389</v>
      </c>
      <c r="M295" s="17" t="s">
        <v>1044</v>
      </c>
      <c r="N295" s="16" t="str">
        <f>HYPERLINK("http://slimages.macys.com/is/image/MCY/8851257 ")</f>
        <v xml:space="preserve">http://slimages.macys.com/is/image/MCY/8851257 </v>
      </c>
      <c r="O295" s="30"/>
    </row>
    <row r="296" spans="1:15" ht="48" x14ac:dyDescent="0.25">
      <c r="A296" s="19" t="s">
        <v>1727</v>
      </c>
      <c r="B296" s="17" t="s">
        <v>1726</v>
      </c>
      <c r="C296" s="20">
        <v>1</v>
      </c>
      <c r="D296" s="18">
        <v>11.16</v>
      </c>
      <c r="E296" s="18">
        <v>39.5</v>
      </c>
      <c r="F296" s="20" t="s">
        <v>1725</v>
      </c>
      <c r="G296" s="17" t="s">
        <v>58</v>
      </c>
      <c r="H296" s="19" t="s">
        <v>57</v>
      </c>
      <c r="I296" s="18">
        <v>7.4400000000000013</v>
      </c>
      <c r="J296" s="17" t="s">
        <v>68</v>
      </c>
      <c r="K296" s="17" t="s">
        <v>67</v>
      </c>
      <c r="L296" s="17" t="s">
        <v>389</v>
      </c>
      <c r="M296" s="17" t="s">
        <v>1724</v>
      </c>
      <c r="N296" s="16" t="str">
        <f>HYPERLINK("http://slimages.macys.com/is/image/MCY/12954331 ")</f>
        <v xml:space="preserve">http://slimages.macys.com/is/image/MCY/12954331 </v>
      </c>
      <c r="O296" s="30"/>
    </row>
    <row r="297" spans="1:15" ht="48" x14ac:dyDescent="0.25">
      <c r="A297" s="19" t="s">
        <v>992</v>
      </c>
      <c r="B297" s="17" t="s">
        <v>991</v>
      </c>
      <c r="C297" s="20">
        <v>2</v>
      </c>
      <c r="D297" s="18">
        <v>11.16</v>
      </c>
      <c r="E297" s="18">
        <v>39.5</v>
      </c>
      <c r="F297" s="20" t="s">
        <v>213</v>
      </c>
      <c r="G297" s="17" t="s">
        <v>63</v>
      </c>
      <c r="H297" s="19" t="s">
        <v>62</v>
      </c>
      <c r="I297" s="18">
        <v>7.4400000000000013</v>
      </c>
      <c r="J297" s="17" t="s">
        <v>56</v>
      </c>
      <c r="K297" s="17" t="s">
        <v>55</v>
      </c>
      <c r="L297" s="17"/>
      <c r="M297" s="17"/>
      <c r="N297" s="16" t="str">
        <f>HYPERLINK("http://slimages.macys.com/is/image/MCY/19179536 ")</f>
        <v xml:space="preserve">http://slimages.macys.com/is/image/MCY/19179536 </v>
      </c>
      <c r="O297" s="30"/>
    </row>
    <row r="298" spans="1:15" ht="48" x14ac:dyDescent="0.25">
      <c r="A298" s="19" t="s">
        <v>215</v>
      </c>
      <c r="B298" s="17" t="s">
        <v>214</v>
      </c>
      <c r="C298" s="20">
        <v>1</v>
      </c>
      <c r="D298" s="18">
        <v>11.16</v>
      </c>
      <c r="E298" s="18">
        <v>39.5</v>
      </c>
      <c r="F298" s="20" t="s">
        <v>213</v>
      </c>
      <c r="G298" s="17" t="s">
        <v>63</v>
      </c>
      <c r="H298" s="19" t="s">
        <v>69</v>
      </c>
      <c r="I298" s="18">
        <v>7.4400000000000013</v>
      </c>
      <c r="J298" s="17" t="s">
        <v>56</v>
      </c>
      <c r="K298" s="17" t="s">
        <v>55</v>
      </c>
      <c r="L298" s="17"/>
      <c r="M298" s="17"/>
      <c r="N298" s="16" t="str">
        <f>HYPERLINK("http://slimages.macys.com/is/image/MCY/19179536 ")</f>
        <v xml:space="preserve">http://slimages.macys.com/is/image/MCY/19179536 </v>
      </c>
      <c r="O298" s="30"/>
    </row>
    <row r="299" spans="1:15" ht="48" x14ac:dyDescent="0.25">
      <c r="A299" s="19" t="s">
        <v>1723</v>
      </c>
      <c r="B299" s="17" t="s">
        <v>1722</v>
      </c>
      <c r="C299" s="20">
        <v>1</v>
      </c>
      <c r="D299" s="18">
        <v>11.16</v>
      </c>
      <c r="E299" s="18">
        <v>39.5</v>
      </c>
      <c r="F299" s="20" t="s">
        <v>1000</v>
      </c>
      <c r="G299" s="17" t="s">
        <v>91</v>
      </c>
      <c r="H299" s="19" t="s">
        <v>57</v>
      </c>
      <c r="I299" s="18">
        <v>7.4400000000000013</v>
      </c>
      <c r="J299" s="17" t="s">
        <v>56</v>
      </c>
      <c r="K299" s="17" t="s">
        <v>55</v>
      </c>
      <c r="L299" s="17"/>
      <c r="M299" s="17"/>
      <c r="N299" s="16" t="str">
        <f>HYPERLINK("http://slimages.macys.com/is/image/MCY/19394976 ")</f>
        <v xml:space="preserve">http://slimages.macys.com/is/image/MCY/19394976 </v>
      </c>
      <c r="O299" s="30"/>
    </row>
    <row r="300" spans="1:15" ht="48" x14ac:dyDescent="0.25">
      <c r="A300" s="19" t="s">
        <v>1721</v>
      </c>
      <c r="B300" s="17" t="s">
        <v>1720</v>
      </c>
      <c r="C300" s="20">
        <v>1</v>
      </c>
      <c r="D300" s="18">
        <v>11.16</v>
      </c>
      <c r="E300" s="18">
        <v>39.5</v>
      </c>
      <c r="F300" s="20" t="s">
        <v>213</v>
      </c>
      <c r="G300" s="17" t="s">
        <v>63</v>
      </c>
      <c r="H300" s="19" t="s">
        <v>74</v>
      </c>
      <c r="I300" s="18">
        <v>7.4400000000000013</v>
      </c>
      <c r="J300" s="17" t="s">
        <v>56</v>
      </c>
      <c r="K300" s="17" t="s">
        <v>55</v>
      </c>
      <c r="L300" s="17"/>
      <c r="M300" s="17"/>
      <c r="N300" s="16" t="str">
        <f>HYPERLINK("http://slimages.macys.com/is/image/MCY/19179536 ")</f>
        <v xml:space="preserve">http://slimages.macys.com/is/image/MCY/19179536 </v>
      </c>
      <c r="O300" s="30"/>
    </row>
    <row r="301" spans="1:15" ht="48" x14ac:dyDescent="0.25">
      <c r="A301" s="19" t="s">
        <v>1002</v>
      </c>
      <c r="B301" s="17" t="s">
        <v>1001</v>
      </c>
      <c r="C301" s="20">
        <v>1</v>
      </c>
      <c r="D301" s="18">
        <v>11.16</v>
      </c>
      <c r="E301" s="18">
        <v>39.5</v>
      </c>
      <c r="F301" s="20" t="s">
        <v>1000</v>
      </c>
      <c r="G301" s="17" t="s">
        <v>91</v>
      </c>
      <c r="H301" s="19" t="s">
        <v>197</v>
      </c>
      <c r="I301" s="18">
        <v>7.4400000000000013</v>
      </c>
      <c r="J301" s="17" t="s">
        <v>56</v>
      </c>
      <c r="K301" s="17" t="s">
        <v>55</v>
      </c>
      <c r="L301" s="17"/>
      <c r="M301" s="17"/>
      <c r="N301" s="16" t="str">
        <f>HYPERLINK("http://slimages.macys.com/is/image/MCY/19394976 ")</f>
        <v xml:space="preserve">http://slimages.macys.com/is/image/MCY/19394976 </v>
      </c>
      <c r="O301" s="30"/>
    </row>
    <row r="302" spans="1:15" ht="48" x14ac:dyDescent="0.25">
      <c r="A302" s="19" t="s">
        <v>1719</v>
      </c>
      <c r="B302" s="17" t="s">
        <v>1718</v>
      </c>
      <c r="C302" s="20">
        <v>4</v>
      </c>
      <c r="D302" s="18">
        <v>11.16</v>
      </c>
      <c r="E302" s="18">
        <v>39.5</v>
      </c>
      <c r="F302" s="20" t="s">
        <v>1713</v>
      </c>
      <c r="G302" s="17" t="s">
        <v>51</v>
      </c>
      <c r="H302" s="19" t="s">
        <v>74</v>
      </c>
      <c r="I302" s="18">
        <v>7.4400000000000013</v>
      </c>
      <c r="J302" s="17" t="s">
        <v>56</v>
      </c>
      <c r="K302" s="17" t="s">
        <v>55</v>
      </c>
      <c r="L302" s="17"/>
      <c r="M302" s="17"/>
      <c r="N302" s="16" t="str">
        <f>HYPERLINK("http://slimages.macys.com/is/image/MCY/19182945 ")</f>
        <v xml:space="preserve">http://slimages.macys.com/is/image/MCY/19182945 </v>
      </c>
      <c r="O302" s="30"/>
    </row>
    <row r="303" spans="1:15" ht="48" x14ac:dyDescent="0.25">
      <c r="A303" s="19" t="s">
        <v>1717</v>
      </c>
      <c r="B303" s="17" t="s">
        <v>1716</v>
      </c>
      <c r="C303" s="20">
        <v>9</v>
      </c>
      <c r="D303" s="18">
        <v>11.16</v>
      </c>
      <c r="E303" s="18">
        <v>39.5</v>
      </c>
      <c r="F303" s="20" t="s">
        <v>1713</v>
      </c>
      <c r="G303" s="17" t="s">
        <v>51</v>
      </c>
      <c r="H303" s="19" t="s">
        <v>62</v>
      </c>
      <c r="I303" s="18">
        <v>7.4400000000000013</v>
      </c>
      <c r="J303" s="17" t="s">
        <v>56</v>
      </c>
      <c r="K303" s="17" t="s">
        <v>55</v>
      </c>
      <c r="L303" s="17"/>
      <c r="M303" s="17"/>
      <c r="N303" s="16" t="str">
        <f>HYPERLINK("http://slimages.macys.com/is/image/MCY/19182945 ")</f>
        <v xml:space="preserve">http://slimages.macys.com/is/image/MCY/19182945 </v>
      </c>
      <c r="O303" s="30"/>
    </row>
    <row r="304" spans="1:15" ht="48" x14ac:dyDescent="0.25">
      <c r="A304" s="19" t="s">
        <v>1715</v>
      </c>
      <c r="B304" s="17" t="s">
        <v>1714</v>
      </c>
      <c r="C304" s="20">
        <v>9</v>
      </c>
      <c r="D304" s="18">
        <v>11.16</v>
      </c>
      <c r="E304" s="18">
        <v>39.5</v>
      </c>
      <c r="F304" s="20" t="s">
        <v>1713</v>
      </c>
      <c r="G304" s="17" t="s">
        <v>51</v>
      </c>
      <c r="H304" s="19" t="s">
        <v>69</v>
      </c>
      <c r="I304" s="18">
        <v>7.4400000000000013</v>
      </c>
      <c r="J304" s="17" t="s">
        <v>56</v>
      </c>
      <c r="K304" s="17" t="s">
        <v>55</v>
      </c>
      <c r="L304" s="17"/>
      <c r="M304" s="17"/>
      <c r="N304" s="16" t="str">
        <f>HYPERLINK("http://slimages.macys.com/is/image/MCY/19182945 ")</f>
        <v xml:space="preserve">http://slimages.macys.com/is/image/MCY/19182945 </v>
      </c>
      <c r="O304" s="30"/>
    </row>
    <row r="305" spans="1:15" ht="48" x14ac:dyDescent="0.25">
      <c r="A305" s="19" t="s">
        <v>1712</v>
      </c>
      <c r="B305" s="17" t="s">
        <v>1711</v>
      </c>
      <c r="C305" s="20">
        <v>1</v>
      </c>
      <c r="D305" s="18">
        <v>11</v>
      </c>
      <c r="E305" s="18">
        <v>59</v>
      </c>
      <c r="F305" s="20" t="s">
        <v>1710</v>
      </c>
      <c r="G305" s="17" t="s">
        <v>726</v>
      </c>
      <c r="H305" s="19" t="s">
        <v>271</v>
      </c>
      <c r="I305" s="18">
        <v>7.3333333333333339</v>
      </c>
      <c r="J305" s="17" t="s">
        <v>550</v>
      </c>
      <c r="K305" s="17" t="s">
        <v>1448</v>
      </c>
      <c r="L305" s="17"/>
      <c r="M305" s="17"/>
      <c r="N305" s="16" t="str">
        <f>HYPERLINK("http://slimages.macys.com/is/image/MCY/18373541 ")</f>
        <v xml:space="preserve">http://slimages.macys.com/is/image/MCY/18373541 </v>
      </c>
      <c r="O305" s="30"/>
    </row>
    <row r="306" spans="1:15" ht="48" x14ac:dyDescent="0.25">
      <c r="A306" s="19" t="s">
        <v>1709</v>
      </c>
      <c r="B306" s="17" t="s">
        <v>1708</v>
      </c>
      <c r="C306" s="20">
        <v>1</v>
      </c>
      <c r="D306" s="18">
        <v>10.48</v>
      </c>
      <c r="E306" s="18">
        <v>30</v>
      </c>
      <c r="F306" s="20" t="s">
        <v>1707</v>
      </c>
      <c r="G306" s="17" t="s">
        <v>562</v>
      </c>
      <c r="H306" s="19" t="s">
        <v>22</v>
      </c>
      <c r="I306" s="18">
        <v>6.9866666666666672</v>
      </c>
      <c r="J306" s="17" t="s">
        <v>16</v>
      </c>
      <c r="K306" s="17" t="s">
        <v>15</v>
      </c>
      <c r="L306" s="17"/>
      <c r="M306" s="17"/>
      <c r="N306" s="16" t="str">
        <f>HYPERLINK("http://slimages.macys.com/is/image/MCY/18937692 ")</f>
        <v xml:space="preserve">http://slimages.macys.com/is/image/MCY/18937692 </v>
      </c>
      <c r="O306" s="30"/>
    </row>
    <row r="307" spans="1:15" ht="48" x14ac:dyDescent="0.25">
      <c r="A307" s="19" t="s">
        <v>1706</v>
      </c>
      <c r="B307" s="17" t="s">
        <v>1705</v>
      </c>
      <c r="C307" s="20">
        <v>1</v>
      </c>
      <c r="D307" s="18">
        <v>10</v>
      </c>
      <c r="E307" s="18">
        <v>35</v>
      </c>
      <c r="F307" s="20" t="s">
        <v>1704</v>
      </c>
      <c r="G307" s="17" t="s">
        <v>35</v>
      </c>
      <c r="H307" s="19" t="s">
        <v>62</v>
      </c>
      <c r="I307" s="18">
        <v>6.666666666666667</v>
      </c>
      <c r="J307" s="17" t="s">
        <v>80</v>
      </c>
      <c r="K307" s="17" t="s">
        <v>187</v>
      </c>
      <c r="L307" s="17"/>
      <c r="M307" s="17"/>
      <c r="N307" s="16" t="str">
        <f>HYPERLINK("http://slimages.macys.com/is/image/MCY/20043665 ")</f>
        <v xml:space="preserve">http://slimages.macys.com/is/image/MCY/20043665 </v>
      </c>
      <c r="O307" s="30"/>
    </row>
    <row r="308" spans="1:15" ht="60" x14ac:dyDescent="0.25">
      <c r="A308" s="19" t="s">
        <v>1703</v>
      </c>
      <c r="B308" s="17" t="s">
        <v>1702</v>
      </c>
      <c r="C308" s="20">
        <v>1</v>
      </c>
      <c r="D308" s="18">
        <v>9.5</v>
      </c>
      <c r="E308" s="18">
        <v>39</v>
      </c>
      <c r="F308" s="20" t="s">
        <v>1701</v>
      </c>
      <c r="G308" s="17" t="s">
        <v>81</v>
      </c>
      <c r="H308" s="19" t="s">
        <v>74</v>
      </c>
      <c r="I308" s="18">
        <v>6.333333333333333</v>
      </c>
      <c r="J308" s="17" t="s">
        <v>1700</v>
      </c>
      <c r="K308" s="17" t="s">
        <v>1699</v>
      </c>
      <c r="L308" s="17"/>
      <c r="M308" s="17"/>
      <c r="N308" s="16" t="str">
        <f>HYPERLINK("http://slimages.macys.com/is/image/MCY/18863673 ")</f>
        <v xml:space="preserve">http://slimages.macys.com/is/image/MCY/18863673 </v>
      </c>
      <c r="O308" s="30"/>
    </row>
    <row r="309" spans="1:15" ht="48" x14ac:dyDescent="0.25">
      <c r="A309" s="19" t="s">
        <v>980</v>
      </c>
      <c r="B309" s="17" t="s">
        <v>979</v>
      </c>
      <c r="C309" s="20">
        <v>9</v>
      </c>
      <c r="D309" s="18">
        <v>8.7899999999999991</v>
      </c>
      <c r="E309" s="18">
        <v>25</v>
      </c>
      <c r="F309" s="20" t="s">
        <v>978</v>
      </c>
      <c r="G309" s="17" t="s">
        <v>28</v>
      </c>
      <c r="H309" s="19" t="s">
        <v>62</v>
      </c>
      <c r="I309" s="18">
        <v>5.86</v>
      </c>
      <c r="J309" s="17" t="s">
        <v>16</v>
      </c>
      <c r="K309" s="17" t="s">
        <v>15</v>
      </c>
      <c r="L309" s="17"/>
      <c r="M309" s="17"/>
      <c r="N309" s="16" t="str">
        <f>HYPERLINK("http://slimages.macys.com/is/image/MCY/19122031 ")</f>
        <v xml:space="preserve">http://slimages.macys.com/is/image/MCY/19122031 </v>
      </c>
      <c r="O309" s="30"/>
    </row>
    <row r="310" spans="1:15" ht="48" x14ac:dyDescent="0.25">
      <c r="A310" s="19" t="s">
        <v>1698</v>
      </c>
      <c r="B310" s="17" t="s">
        <v>1697</v>
      </c>
      <c r="C310" s="20">
        <v>3</v>
      </c>
      <c r="D310" s="18">
        <v>8.7899999999999991</v>
      </c>
      <c r="E310" s="18">
        <v>25</v>
      </c>
      <c r="F310" s="20" t="s">
        <v>978</v>
      </c>
      <c r="G310" s="17" t="s">
        <v>28</v>
      </c>
      <c r="H310" s="19" t="s">
        <v>27</v>
      </c>
      <c r="I310" s="18">
        <v>5.86</v>
      </c>
      <c r="J310" s="17" t="s">
        <v>16</v>
      </c>
      <c r="K310" s="17" t="s">
        <v>15</v>
      </c>
      <c r="L310" s="17"/>
      <c r="M310" s="17"/>
      <c r="N310" s="16" t="str">
        <f>HYPERLINK("http://slimages.macys.com/is/image/MCY/19122031 ")</f>
        <v xml:space="preserve">http://slimages.macys.com/is/image/MCY/19122031 </v>
      </c>
      <c r="O310" s="30"/>
    </row>
    <row r="311" spans="1:15" ht="48" x14ac:dyDescent="0.25">
      <c r="A311" s="19" t="s">
        <v>1696</v>
      </c>
      <c r="B311" s="17" t="s">
        <v>1695</v>
      </c>
      <c r="C311" s="20">
        <v>1</v>
      </c>
      <c r="D311" s="18">
        <v>8.6</v>
      </c>
      <c r="E311" s="18">
        <v>24.5</v>
      </c>
      <c r="F311" s="20" t="s">
        <v>1694</v>
      </c>
      <c r="G311" s="17" t="s">
        <v>91</v>
      </c>
      <c r="H311" s="19" t="s">
        <v>197</v>
      </c>
      <c r="I311" s="18">
        <v>5.7333333333333334</v>
      </c>
      <c r="J311" s="17" t="s">
        <v>68</v>
      </c>
      <c r="K311" s="17" t="s">
        <v>67</v>
      </c>
      <c r="L311" s="17"/>
      <c r="M311" s="17"/>
      <c r="N311" s="16" t="str">
        <f>HYPERLINK("http://slimages.macys.com/is/image/MCY/9898627 ")</f>
        <v xml:space="preserve">http://slimages.macys.com/is/image/MCY/9898627 </v>
      </c>
      <c r="O311" s="30"/>
    </row>
    <row r="312" spans="1:15" ht="48" x14ac:dyDescent="0.25">
      <c r="A312" s="19" t="s">
        <v>1693</v>
      </c>
      <c r="B312" s="17" t="s">
        <v>1692</v>
      </c>
      <c r="C312" s="20">
        <v>1</v>
      </c>
      <c r="D312" s="18">
        <v>8.6</v>
      </c>
      <c r="E312" s="18">
        <v>29.5</v>
      </c>
      <c r="F312" s="20" t="s">
        <v>1691</v>
      </c>
      <c r="G312" s="17" t="s">
        <v>85</v>
      </c>
      <c r="H312" s="19" t="s">
        <v>57</v>
      </c>
      <c r="I312" s="18">
        <v>5.7333333333333334</v>
      </c>
      <c r="J312" s="17" t="s">
        <v>68</v>
      </c>
      <c r="K312" s="17" t="s">
        <v>67</v>
      </c>
      <c r="L312" s="17"/>
      <c r="M312" s="17"/>
      <c r="N312" s="16" t="str">
        <f>HYPERLINK("http://slimages.macys.com/is/image/MCY/18390283 ")</f>
        <v xml:space="preserve">http://slimages.macys.com/is/image/MCY/18390283 </v>
      </c>
      <c r="O312" s="30"/>
    </row>
    <row r="313" spans="1:15" ht="48" x14ac:dyDescent="0.25">
      <c r="A313" s="19" t="s">
        <v>1690</v>
      </c>
      <c r="B313" s="17" t="s">
        <v>1689</v>
      </c>
      <c r="C313" s="20">
        <v>1</v>
      </c>
      <c r="D313" s="18">
        <v>8.5</v>
      </c>
      <c r="E313" s="18">
        <v>39</v>
      </c>
      <c r="F313" s="20">
        <v>2321609</v>
      </c>
      <c r="G313" s="17" t="s">
        <v>70</v>
      </c>
      <c r="H313" s="19" t="s">
        <v>313</v>
      </c>
      <c r="I313" s="18">
        <v>5.666666666666667</v>
      </c>
      <c r="J313" s="17" t="s">
        <v>80</v>
      </c>
      <c r="K313" s="17" t="s">
        <v>293</v>
      </c>
      <c r="L313" s="17"/>
      <c r="M313" s="17"/>
      <c r="N313" s="16" t="str">
        <f>HYPERLINK("http://slimages.macys.com/is/image/MCY/18605627 ")</f>
        <v xml:space="preserve">http://slimages.macys.com/is/image/MCY/18605627 </v>
      </c>
      <c r="O313" s="30"/>
    </row>
    <row r="314" spans="1:15" ht="60" x14ac:dyDescent="0.25">
      <c r="A314" s="19" t="s">
        <v>1688</v>
      </c>
      <c r="B314" s="17" t="s">
        <v>1687</v>
      </c>
      <c r="C314" s="20">
        <v>2</v>
      </c>
      <c r="D314" s="18">
        <v>112.5</v>
      </c>
      <c r="E314" s="18">
        <v>275</v>
      </c>
      <c r="F314" s="20" t="s">
        <v>955</v>
      </c>
      <c r="G314" s="17" t="s">
        <v>562</v>
      </c>
      <c r="H314" s="19" t="s">
        <v>62</v>
      </c>
      <c r="I314" s="18">
        <v>75</v>
      </c>
      <c r="J314" s="17" t="s">
        <v>133</v>
      </c>
      <c r="K314" s="17" t="s">
        <v>953</v>
      </c>
      <c r="L314" s="17"/>
      <c r="M314" s="17"/>
      <c r="N314" s="16"/>
      <c r="O314" s="30"/>
    </row>
    <row r="315" spans="1:15" ht="48" x14ac:dyDescent="0.25">
      <c r="A315" s="19" t="s">
        <v>1686</v>
      </c>
      <c r="B315" s="17" t="s">
        <v>1685</v>
      </c>
      <c r="C315" s="20">
        <v>1</v>
      </c>
      <c r="D315" s="18">
        <v>87.15</v>
      </c>
      <c r="E315" s="18">
        <v>249</v>
      </c>
      <c r="F315" s="20" t="s">
        <v>943</v>
      </c>
      <c r="G315" s="17" t="s">
        <v>18</v>
      </c>
      <c r="H315" s="19" t="s">
        <v>749</v>
      </c>
      <c r="I315" s="18">
        <v>58.1</v>
      </c>
      <c r="J315" s="17" t="s">
        <v>854</v>
      </c>
      <c r="K315" s="17" t="s">
        <v>496</v>
      </c>
      <c r="L315" s="17"/>
      <c r="M315" s="17"/>
      <c r="N315" s="16"/>
      <c r="O315" s="30"/>
    </row>
    <row r="316" spans="1:15" ht="48" x14ac:dyDescent="0.25">
      <c r="A316" s="19" t="s">
        <v>1684</v>
      </c>
      <c r="B316" s="17" t="s">
        <v>1683</v>
      </c>
      <c r="C316" s="20">
        <v>1</v>
      </c>
      <c r="D316" s="18">
        <v>77.19</v>
      </c>
      <c r="E316" s="18">
        <v>249</v>
      </c>
      <c r="F316" s="20" t="s">
        <v>1682</v>
      </c>
      <c r="G316" s="17" t="s">
        <v>575</v>
      </c>
      <c r="H316" s="19" t="s">
        <v>682</v>
      </c>
      <c r="I316" s="18">
        <v>51.46</v>
      </c>
      <c r="J316" s="17" t="s">
        <v>854</v>
      </c>
      <c r="K316" s="17" t="s">
        <v>496</v>
      </c>
      <c r="L316" s="17"/>
      <c r="M316" s="17"/>
      <c r="N316" s="16"/>
      <c r="O316" s="30"/>
    </row>
    <row r="317" spans="1:15" ht="48" x14ac:dyDescent="0.25">
      <c r="A317" s="19" t="s">
        <v>1681</v>
      </c>
      <c r="B317" s="17" t="s">
        <v>1680</v>
      </c>
      <c r="C317" s="20">
        <v>1</v>
      </c>
      <c r="D317" s="18">
        <v>69.650000000000006</v>
      </c>
      <c r="E317" s="18">
        <v>199</v>
      </c>
      <c r="F317" s="20" t="s">
        <v>1679</v>
      </c>
      <c r="G317" s="17" t="s">
        <v>206</v>
      </c>
      <c r="H317" s="19" t="s">
        <v>116</v>
      </c>
      <c r="I317" s="18">
        <v>46.433333333333337</v>
      </c>
      <c r="J317" s="17" t="s">
        <v>854</v>
      </c>
      <c r="K317" s="17" t="s">
        <v>496</v>
      </c>
      <c r="L317" s="17"/>
      <c r="M317" s="17"/>
      <c r="N317" s="16"/>
      <c r="O317" s="30"/>
    </row>
    <row r="318" spans="1:15" ht="48" x14ac:dyDescent="0.25">
      <c r="A318" s="19" t="s">
        <v>1678</v>
      </c>
      <c r="B318" s="17" t="s">
        <v>1677</v>
      </c>
      <c r="C318" s="20">
        <v>1</v>
      </c>
      <c r="D318" s="18">
        <v>69.650000000000006</v>
      </c>
      <c r="E318" s="18">
        <v>199</v>
      </c>
      <c r="F318" s="20" t="s">
        <v>1676</v>
      </c>
      <c r="G318" s="17" t="s">
        <v>282</v>
      </c>
      <c r="H318" s="19" t="s">
        <v>96</v>
      </c>
      <c r="I318" s="18">
        <v>46.433333333333337</v>
      </c>
      <c r="J318" s="17" t="s">
        <v>854</v>
      </c>
      <c r="K318" s="17" t="s">
        <v>496</v>
      </c>
      <c r="L318" s="17"/>
      <c r="M318" s="17"/>
      <c r="N318" s="16"/>
      <c r="O318" s="30"/>
    </row>
    <row r="319" spans="1:15" ht="48" x14ac:dyDescent="0.25">
      <c r="A319" s="19" t="s">
        <v>1675</v>
      </c>
      <c r="B319" s="17" t="s">
        <v>1674</v>
      </c>
      <c r="C319" s="20">
        <v>1</v>
      </c>
      <c r="D319" s="18">
        <v>62.65</v>
      </c>
      <c r="E319" s="18">
        <v>179</v>
      </c>
      <c r="F319" s="20" t="s">
        <v>1673</v>
      </c>
      <c r="G319" s="17" t="s">
        <v>58</v>
      </c>
      <c r="H319" s="19" t="s">
        <v>682</v>
      </c>
      <c r="I319" s="18">
        <v>41.766666666666666</v>
      </c>
      <c r="J319" s="17" t="s">
        <v>854</v>
      </c>
      <c r="K319" s="17" t="s">
        <v>496</v>
      </c>
      <c r="L319" s="17"/>
      <c r="M319" s="17"/>
      <c r="N319" s="16"/>
      <c r="O319" s="30"/>
    </row>
    <row r="320" spans="1:15" ht="48" x14ac:dyDescent="0.25">
      <c r="A320" s="19" t="s">
        <v>1672</v>
      </c>
      <c r="B320" s="17" t="s">
        <v>1671</v>
      </c>
      <c r="C320" s="20">
        <v>1</v>
      </c>
      <c r="D320" s="18">
        <v>62.65</v>
      </c>
      <c r="E320" s="18">
        <v>179</v>
      </c>
      <c r="F320" s="20" t="s">
        <v>923</v>
      </c>
      <c r="G320" s="17" t="s">
        <v>562</v>
      </c>
      <c r="H320" s="19" t="s">
        <v>857</v>
      </c>
      <c r="I320" s="18">
        <v>41.766666666666666</v>
      </c>
      <c r="J320" s="17" t="s">
        <v>854</v>
      </c>
      <c r="K320" s="17" t="s">
        <v>496</v>
      </c>
      <c r="L320" s="17"/>
      <c r="M320" s="17"/>
      <c r="N320" s="16"/>
      <c r="O320" s="30"/>
    </row>
    <row r="321" spans="1:15" ht="48" x14ac:dyDescent="0.25">
      <c r="A321" s="19" t="s">
        <v>927</v>
      </c>
      <c r="B321" s="17" t="s">
        <v>926</v>
      </c>
      <c r="C321" s="20">
        <v>1</v>
      </c>
      <c r="D321" s="18">
        <v>62.65</v>
      </c>
      <c r="E321" s="18">
        <v>179</v>
      </c>
      <c r="F321" s="20" t="s">
        <v>923</v>
      </c>
      <c r="G321" s="17" t="s">
        <v>562</v>
      </c>
      <c r="H321" s="19" t="s">
        <v>749</v>
      </c>
      <c r="I321" s="18">
        <v>41.766666666666666</v>
      </c>
      <c r="J321" s="17" t="s">
        <v>854</v>
      </c>
      <c r="K321" s="17" t="s">
        <v>496</v>
      </c>
      <c r="L321" s="17"/>
      <c r="M321" s="17"/>
      <c r="N321" s="16"/>
      <c r="O321" s="30"/>
    </row>
    <row r="322" spans="1:15" ht="48" x14ac:dyDescent="0.25">
      <c r="A322" s="19" t="s">
        <v>1670</v>
      </c>
      <c r="B322" s="17" t="s">
        <v>1669</v>
      </c>
      <c r="C322" s="20">
        <v>1</v>
      </c>
      <c r="D322" s="18">
        <v>62.65</v>
      </c>
      <c r="E322" s="18">
        <v>179</v>
      </c>
      <c r="F322" s="20" t="s">
        <v>923</v>
      </c>
      <c r="G322" s="17" t="s">
        <v>562</v>
      </c>
      <c r="H322" s="19" t="s">
        <v>682</v>
      </c>
      <c r="I322" s="18">
        <v>41.766666666666666</v>
      </c>
      <c r="J322" s="17" t="s">
        <v>854</v>
      </c>
      <c r="K322" s="17" t="s">
        <v>496</v>
      </c>
      <c r="L322" s="17"/>
      <c r="M322" s="17"/>
      <c r="N322" s="16"/>
      <c r="O322" s="30"/>
    </row>
    <row r="323" spans="1:15" ht="48" x14ac:dyDescent="0.25">
      <c r="A323" s="19" t="s">
        <v>907</v>
      </c>
      <c r="B323" s="17" t="s">
        <v>906</v>
      </c>
      <c r="C323" s="20">
        <v>1</v>
      </c>
      <c r="D323" s="18">
        <v>46</v>
      </c>
      <c r="E323" s="18">
        <v>109.99</v>
      </c>
      <c r="F323" s="20">
        <v>50039511</v>
      </c>
      <c r="G323" s="17" t="s">
        <v>51</v>
      </c>
      <c r="H323" s="19" t="s">
        <v>96</v>
      </c>
      <c r="I323" s="18">
        <v>30.666666666666664</v>
      </c>
      <c r="J323" s="17" t="s">
        <v>854</v>
      </c>
      <c r="K323" s="17" t="s">
        <v>850</v>
      </c>
      <c r="L323" s="17"/>
      <c r="M323" s="17"/>
      <c r="N323" s="16"/>
      <c r="O323" s="30"/>
    </row>
    <row r="324" spans="1:15" ht="36" x14ac:dyDescent="0.25">
      <c r="A324" s="19" t="s">
        <v>1668</v>
      </c>
      <c r="B324" s="17" t="s">
        <v>904</v>
      </c>
      <c r="C324" s="20">
        <v>2</v>
      </c>
      <c r="D324" s="18">
        <v>44.8</v>
      </c>
      <c r="E324" s="18">
        <v>128</v>
      </c>
      <c r="F324" s="20" t="s">
        <v>903</v>
      </c>
      <c r="G324" s="17" t="s">
        <v>51</v>
      </c>
      <c r="H324" s="19" t="s">
        <v>62</v>
      </c>
      <c r="I324" s="18">
        <v>29.866666666666671</v>
      </c>
      <c r="J324" s="17" t="s">
        <v>133</v>
      </c>
      <c r="K324" s="17" t="s">
        <v>132</v>
      </c>
      <c r="L324" s="17"/>
      <c r="M324" s="17"/>
      <c r="N324" s="16"/>
      <c r="O324" s="30"/>
    </row>
    <row r="325" spans="1:15" ht="36" x14ac:dyDescent="0.25">
      <c r="A325" s="19" t="s">
        <v>1667</v>
      </c>
      <c r="B325" s="17" t="s">
        <v>904</v>
      </c>
      <c r="C325" s="20">
        <v>2</v>
      </c>
      <c r="D325" s="18">
        <v>44.8</v>
      </c>
      <c r="E325" s="18">
        <v>128</v>
      </c>
      <c r="F325" s="20" t="s">
        <v>903</v>
      </c>
      <c r="G325" s="17" t="s">
        <v>51</v>
      </c>
      <c r="H325" s="19" t="s">
        <v>69</v>
      </c>
      <c r="I325" s="18">
        <v>29.866666666666671</v>
      </c>
      <c r="J325" s="17" t="s">
        <v>133</v>
      </c>
      <c r="K325" s="17" t="s">
        <v>132</v>
      </c>
      <c r="L325" s="17"/>
      <c r="M325" s="17"/>
      <c r="N325" s="16"/>
      <c r="O325" s="30"/>
    </row>
    <row r="326" spans="1:15" ht="48" x14ac:dyDescent="0.25">
      <c r="A326" s="19" t="s">
        <v>1666</v>
      </c>
      <c r="B326" s="17" t="s">
        <v>1665</v>
      </c>
      <c r="C326" s="20">
        <v>1</v>
      </c>
      <c r="D326" s="18">
        <v>43</v>
      </c>
      <c r="E326" s="18">
        <v>109.99</v>
      </c>
      <c r="F326" s="20">
        <v>50039689</v>
      </c>
      <c r="G326" s="17" t="s">
        <v>390</v>
      </c>
      <c r="H326" s="19" t="s">
        <v>880</v>
      </c>
      <c r="I326" s="18">
        <v>28.666666666666668</v>
      </c>
      <c r="J326" s="17" t="s">
        <v>879</v>
      </c>
      <c r="K326" s="17" t="s">
        <v>850</v>
      </c>
      <c r="L326" s="17"/>
      <c r="M326" s="17"/>
      <c r="N326" s="16"/>
      <c r="O326" s="30"/>
    </row>
    <row r="327" spans="1:15" ht="36" x14ac:dyDescent="0.25">
      <c r="A327" s="19" t="s">
        <v>1664</v>
      </c>
      <c r="B327" s="17" t="s">
        <v>1663</v>
      </c>
      <c r="C327" s="20">
        <v>2</v>
      </c>
      <c r="D327" s="18">
        <v>41.3</v>
      </c>
      <c r="E327" s="18">
        <v>118</v>
      </c>
      <c r="F327" s="20" t="s">
        <v>1662</v>
      </c>
      <c r="G327" s="17" t="s">
        <v>51</v>
      </c>
      <c r="H327" s="19" t="s">
        <v>62</v>
      </c>
      <c r="I327" s="18">
        <v>27.533333333333335</v>
      </c>
      <c r="J327" s="17" t="s">
        <v>133</v>
      </c>
      <c r="K327" s="17" t="s">
        <v>132</v>
      </c>
      <c r="L327" s="17"/>
      <c r="M327" s="17"/>
      <c r="N327" s="16"/>
      <c r="O327" s="30"/>
    </row>
    <row r="328" spans="1:15" ht="48" x14ac:dyDescent="0.25">
      <c r="A328" s="19" t="s">
        <v>1661</v>
      </c>
      <c r="B328" s="17" t="s">
        <v>1660</v>
      </c>
      <c r="C328" s="20">
        <v>1</v>
      </c>
      <c r="D328" s="18">
        <v>40</v>
      </c>
      <c r="E328" s="18">
        <v>89.99</v>
      </c>
      <c r="F328" s="20">
        <v>50039919</v>
      </c>
      <c r="G328" s="17" t="s">
        <v>51</v>
      </c>
      <c r="H328" s="19" t="s">
        <v>773</v>
      </c>
      <c r="I328" s="18">
        <v>26.666666666666668</v>
      </c>
      <c r="J328" s="17" t="s">
        <v>854</v>
      </c>
      <c r="K328" s="17" t="s">
        <v>850</v>
      </c>
      <c r="L328" s="17"/>
      <c r="M328" s="17"/>
      <c r="N328" s="16"/>
      <c r="O328" s="30"/>
    </row>
    <row r="329" spans="1:15" ht="48" x14ac:dyDescent="0.25">
      <c r="A329" s="19" t="s">
        <v>1659</v>
      </c>
      <c r="B329" s="17" t="s">
        <v>1658</v>
      </c>
      <c r="C329" s="20">
        <v>1</v>
      </c>
      <c r="D329" s="18">
        <v>40</v>
      </c>
      <c r="E329" s="18">
        <v>89.99</v>
      </c>
      <c r="F329" s="20">
        <v>50039919</v>
      </c>
      <c r="G329" s="17" t="s">
        <v>282</v>
      </c>
      <c r="H329" s="19" t="s">
        <v>898</v>
      </c>
      <c r="I329" s="18">
        <v>26.666666666666668</v>
      </c>
      <c r="J329" s="17" t="s">
        <v>854</v>
      </c>
      <c r="K329" s="17" t="s">
        <v>850</v>
      </c>
      <c r="L329" s="17"/>
      <c r="M329" s="17"/>
      <c r="N329" s="16"/>
      <c r="O329" s="30"/>
    </row>
    <row r="330" spans="1:15" ht="48" x14ac:dyDescent="0.25">
      <c r="A330" s="19" t="s">
        <v>1657</v>
      </c>
      <c r="B330" s="17" t="s">
        <v>1656</v>
      </c>
      <c r="C330" s="20">
        <v>1</v>
      </c>
      <c r="D330" s="18">
        <v>40</v>
      </c>
      <c r="E330" s="18">
        <v>79.989999999999995</v>
      </c>
      <c r="F330" s="20">
        <v>50039303</v>
      </c>
      <c r="G330" s="17" t="s">
        <v>535</v>
      </c>
      <c r="H330" s="19" t="s">
        <v>116</v>
      </c>
      <c r="I330" s="18">
        <v>26.666666666666668</v>
      </c>
      <c r="J330" s="17" t="s">
        <v>854</v>
      </c>
      <c r="K330" s="17" t="s">
        <v>850</v>
      </c>
      <c r="L330" s="17"/>
      <c r="M330" s="17"/>
      <c r="N330" s="16"/>
      <c r="O330" s="30"/>
    </row>
    <row r="331" spans="1:15" ht="48" x14ac:dyDescent="0.25">
      <c r="A331" s="19" t="s">
        <v>1655</v>
      </c>
      <c r="B331" s="17" t="s">
        <v>1654</v>
      </c>
      <c r="C331" s="20">
        <v>2</v>
      </c>
      <c r="D331" s="18">
        <v>40</v>
      </c>
      <c r="E331" s="18">
        <v>89.99</v>
      </c>
      <c r="F331" s="20">
        <v>50039404</v>
      </c>
      <c r="G331" s="17" t="s">
        <v>28</v>
      </c>
      <c r="H331" s="19" t="s">
        <v>874</v>
      </c>
      <c r="I331" s="18">
        <v>26.666666666666668</v>
      </c>
      <c r="J331" s="17" t="s">
        <v>851</v>
      </c>
      <c r="K331" s="17" t="s">
        <v>850</v>
      </c>
      <c r="L331" s="17"/>
      <c r="M331" s="17"/>
      <c r="N331" s="16"/>
      <c r="O331" s="30"/>
    </row>
    <row r="332" spans="1:15" ht="48" x14ac:dyDescent="0.25">
      <c r="A332" s="19" t="s">
        <v>1653</v>
      </c>
      <c r="B332" s="17" t="s">
        <v>1652</v>
      </c>
      <c r="C332" s="20">
        <v>1</v>
      </c>
      <c r="D332" s="18">
        <v>40</v>
      </c>
      <c r="E332" s="18">
        <v>89.99</v>
      </c>
      <c r="F332" s="20">
        <v>50039919</v>
      </c>
      <c r="G332" s="17" t="s">
        <v>51</v>
      </c>
      <c r="H332" s="19" t="s">
        <v>116</v>
      </c>
      <c r="I332" s="18">
        <v>26.666666666666668</v>
      </c>
      <c r="J332" s="17" t="s">
        <v>854</v>
      </c>
      <c r="K332" s="17" t="s">
        <v>850</v>
      </c>
      <c r="L332" s="17"/>
      <c r="M332" s="17"/>
      <c r="N332" s="16"/>
      <c r="O332" s="30"/>
    </row>
    <row r="333" spans="1:15" ht="48" x14ac:dyDescent="0.25">
      <c r="A333" s="19" t="s">
        <v>1651</v>
      </c>
      <c r="B333" s="17" t="s">
        <v>1650</v>
      </c>
      <c r="C333" s="20">
        <v>1</v>
      </c>
      <c r="D333" s="18">
        <v>39</v>
      </c>
      <c r="E333" s="18">
        <v>99.99</v>
      </c>
      <c r="F333" s="20">
        <v>50039405</v>
      </c>
      <c r="G333" s="17" t="s">
        <v>28</v>
      </c>
      <c r="H333" s="19"/>
      <c r="I333" s="18">
        <v>26</v>
      </c>
      <c r="J333" s="17" t="s">
        <v>879</v>
      </c>
      <c r="K333" s="17" t="s">
        <v>850</v>
      </c>
      <c r="L333" s="17"/>
      <c r="M333" s="17"/>
      <c r="N333" s="16"/>
      <c r="O333" s="30"/>
    </row>
    <row r="334" spans="1:15" ht="48" x14ac:dyDescent="0.25">
      <c r="A334" s="19" t="s">
        <v>1649</v>
      </c>
      <c r="B334" s="17" t="s">
        <v>1648</v>
      </c>
      <c r="C334" s="20">
        <v>1</v>
      </c>
      <c r="D334" s="18">
        <v>35</v>
      </c>
      <c r="E334" s="18">
        <v>89.99</v>
      </c>
      <c r="F334" s="20">
        <v>50039771</v>
      </c>
      <c r="G334" s="17" t="s">
        <v>63</v>
      </c>
      <c r="H334" s="19" t="s">
        <v>96</v>
      </c>
      <c r="I334" s="18">
        <v>23.333333333333336</v>
      </c>
      <c r="J334" s="17" t="s">
        <v>854</v>
      </c>
      <c r="K334" s="17" t="s">
        <v>850</v>
      </c>
      <c r="L334" s="17"/>
      <c r="M334" s="17"/>
      <c r="N334" s="16"/>
      <c r="O334" s="30"/>
    </row>
    <row r="335" spans="1:15" ht="48" x14ac:dyDescent="0.25">
      <c r="A335" s="19" t="s">
        <v>1647</v>
      </c>
      <c r="B335" s="17" t="s">
        <v>1646</v>
      </c>
      <c r="C335" s="20">
        <v>1</v>
      </c>
      <c r="D335" s="18">
        <v>35</v>
      </c>
      <c r="E335" s="18">
        <v>79.989999999999995</v>
      </c>
      <c r="F335" s="20">
        <v>50039439</v>
      </c>
      <c r="G335" s="17" t="s">
        <v>51</v>
      </c>
      <c r="H335" s="19" t="s">
        <v>749</v>
      </c>
      <c r="I335" s="18">
        <v>23.333333333333336</v>
      </c>
      <c r="J335" s="17" t="s">
        <v>854</v>
      </c>
      <c r="K335" s="17" t="s">
        <v>850</v>
      </c>
      <c r="L335" s="17"/>
      <c r="M335" s="17"/>
      <c r="N335" s="16"/>
      <c r="O335" s="30"/>
    </row>
    <row r="336" spans="1:15" ht="48" x14ac:dyDescent="0.25">
      <c r="A336" s="19" t="s">
        <v>1645</v>
      </c>
      <c r="B336" s="17" t="s">
        <v>1644</v>
      </c>
      <c r="C336" s="20">
        <v>1</v>
      </c>
      <c r="D336" s="18">
        <v>35</v>
      </c>
      <c r="E336" s="18">
        <v>89.99</v>
      </c>
      <c r="F336" s="20">
        <v>50039691</v>
      </c>
      <c r="G336" s="17" t="s">
        <v>555</v>
      </c>
      <c r="H336" s="19" t="s">
        <v>96</v>
      </c>
      <c r="I336" s="18">
        <v>23.333333333333336</v>
      </c>
      <c r="J336" s="17" t="s">
        <v>854</v>
      </c>
      <c r="K336" s="17" t="s">
        <v>850</v>
      </c>
      <c r="L336" s="17"/>
      <c r="M336" s="17"/>
      <c r="N336" s="16"/>
      <c r="O336" s="30"/>
    </row>
    <row r="337" spans="1:15" ht="48" x14ac:dyDescent="0.25">
      <c r="A337" s="19" t="s">
        <v>1643</v>
      </c>
      <c r="B337" s="17" t="s">
        <v>1642</v>
      </c>
      <c r="C337" s="20">
        <v>1</v>
      </c>
      <c r="D337" s="18">
        <v>35</v>
      </c>
      <c r="E337" s="18">
        <v>89.99</v>
      </c>
      <c r="F337" s="20">
        <v>50039691</v>
      </c>
      <c r="G337" s="17" t="s">
        <v>390</v>
      </c>
      <c r="H337" s="19" t="s">
        <v>96</v>
      </c>
      <c r="I337" s="18">
        <v>23.333333333333336</v>
      </c>
      <c r="J337" s="17" t="s">
        <v>854</v>
      </c>
      <c r="K337" s="17" t="s">
        <v>850</v>
      </c>
      <c r="L337" s="17"/>
      <c r="M337" s="17"/>
      <c r="N337" s="16"/>
      <c r="O337" s="30"/>
    </row>
    <row r="338" spans="1:15" ht="48" x14ac:dyDescent="0.25">
      <c r="A338" s="19" t="s">
        <v>1641</v>
      </c>
      <c r="B338" s="17" t="s">
        <v>1640</v>
      </c>
      <c r="C338" s="20">
        <v>1</v>
      </c>
      <c r="D338" s="18">
        <v>35</v>
      </c>
      <c r="E338" s="18">
        <v>89.99</v>
      </c>
      <c r="F338" s="20">
        <v>50039647</v>
      </c>
      <c r="G338" s="17" t="s">
        <v>726</v>
      </c>
      <c r="H338" s="19" t="s">
        <v>96</v>
      </c>
      <c r="I338" s="18">
        <v>23.333333333333336</v>
      </c>
      <c r="J338" s="17" t="s">
        <v>854</v>
      </c>
      <c r="K338" s="17" t="s">
        <v>850</v>
      </c>
      <c r="L338" s="17"/>
      <c r="M338" s="17"/>
      <c r="N338" s="16"/>
      <c r="O338" s="30"/>
    </row>
    <row r="339" spans="1:15" ht="48" x14ac:dyDescent="0.25">
      <c r="A339" s="19" t="s">
        <v>1639</v>
      </c>
      <c r="B339" s="17" t="s">
        <v>1638</v>
      </c>
      <c r="C339" s="20">
        <v>1</v>
      </c>
      <c r="D339" s="18">
        <v>35</v>
      </c>
      <c r="E339" s="18">
        <v>89.99</v>
      </c>
      <c r="F339" s="20">
        <v>50039459</v>
      </c>
      <c r="G339" s="17" t="s">
        <v>544</v>
      </c>
      <c r="H339" s="19" t="s">
        <v>96</v>
      </c>
      <c r="I339" s="18">
        <v>23.333333333333336</v>
      </c>
      <c r="J339" s="17" t="s">
        <v>854</v>
      </c>
      <c r="K339" s="17" t="s">
        <v>850</v>
      </c>
      <c r="L339" s="17"/>
      <c r="M339" s="17"/>
      <c r="N339" s="16"/>
      <c r="O339" s="30"/>
    </row>
    <row r="340" spans="1:15" ht="48" x14ac:dyDescent="0.25">
      <c r="A340" s="19" t="s">
        <v>1637</v>
      </c>
      <c r="B340" s="17" t="s">
        <v>1636</v>
      </c>
      <c r="C340" s="20">
        <v>1</v>
      </c>
      <c r="D340" s="18">
        <v>35</v>
      </c>
      <c r="E340" s="18">
        <v>79.989999999999995</v>
      </c>
      <c r="F340" s="20">
        <v>50039427</v>
      </c>
      <c r="G340" s="17" t="s">
        <v>726</v>
      </c>
      <c r="H340" s="19" t="s">
        <v>857</v>
      </c>
      <c r="I340" s="18">
        <v>23.333333333333336</v>
      </c>
      <c r="J340" s="17" t="s">
        <v>854</v>
      </c>
      <c r="K340" s="17" t="s">
        <v>850</v>
      </c>
      <c r="L340" s="17"/>
      <c r="M340" s="17"/>
      <c r="N340" s="16"/>
      <c r="O340" s="30"/>
    </row>
    <row r="341" spans="1:15" ht="48" x14ac:dyDescent="0.25">
      <c r="A341" s="19" t="s">
        <v>1635</v>
      </c>
      <c r="B341" s="17" t="s">
        <v>1634</v>
      </c>
      <c r="C341" s="20">
        <v>1</v>
      </c>
      <c r="D341" s="18">
        <v>35</v>
      </c>
      <c r="E341" s="18">
        <v>89.99</v>
      </c>
      <c r="F341" s="20">
        <v>50039451</v>
      </c>
      <c r="G341" s="17" t="s">
        <v>881</v>
      </c>
      <c r="H341" s="19" t="s">
        <v>773</v>
      </c>
      <c r="I341" s="18">
        <v>23.333333333333336</v>
      </c>
      <c r="J341" s="17" t="s">
        <v>854</v>
      </c>
      <c r="K341" s="17" t="s">
        <v>850</v>
      </c>
      <c r="L341" s="17"/>
      <c r="M341" s="17"/>
      <c r="N341" s="16"/>
      <c r="O341" s="30"/>
    </row>
    <row r="342" spans="1:15" ht="48" x14ac:dyDescent="0.25">
      <c r="A342" s="19" t="s">
        <v>1633</v>
      </c>
      <c r="B342" s="17" t="s">
        <v>1632</v>
      </c>
      <c r="C342" s="20">
        <v>1</v>
      </c>
      <c r="D342" s="18">
        <v>21.64</v>
      </c>
      <c r="E342" s="18">
        <v>55.3</v>
      </c>
      <c r="F342" s="20" t="s">
        <v>1631</v>
      </c>
      <c r="G342" s="17" t="s">
        <v>63</v>
      </c>
      <c r="H342" s="19" t="s">
        <v>62</v>
      </c>
      <c r="I342" s="18">
        <v>14.426666666666668</v>
      </c>
      <c r="J342" s="17" t="s">
        <v>42</v>
      </c>
      <c r="K342" s="17" t="s">
        <v>41</v>
      </c>
      <c r="L342" s="17"/>
      <c r="M342" s="17"/>
      <c r="N342" s="16"/>
      <c r="O342" s="30"/>
    </row>
    <row r="343" spans="1:15" ht="60" x14ac:dyDescent="0.25">
      <c r="A343" s="19" t="s">
        <v>1630</v>
      </c>
      <c r="B343" s="17" t="s">
        <v>1629</v>
      </c>
      <c r="C343" s="20">
        <v>4</v>
      </c>
      <c r="D343" s="18">
        <v>21</v>
      </c>
      <c r="E343" s="18">
        <v>69.5</v>
      </c>
      <c r="F343" s="20" t="s">
        <v>1628</v>
      </c>
      <c r="G343" s="17" t="s">
        <v>544</v>
      </c>
      <c r="H343" s="19" t="s">
        <v>197</v>
      </c>
      <c r="I343" s="18">
        <v>14.000000000000002</v>
      </c>
      <c r="J343" s="17" t="s">
        <v>106</v>
      </c>
      <c r="K343" s="17" t="s">
        <v>105</v>
      </c>
      <c r="L343" s="17"/>
      <c r="M343" s="17"/>
      <c r="N343" s="16"/>
      <c r="O343" s="30"/>
    </row>
    <row r="344" spans="1:15" ht="48" x14ac:dyDescent="0.25">
      <c r="A344" s="19" t="s">
        <v>1627</v>
      </c>
      <c r="B344" s="17" t="s">
        <v>1626</v>
      </c>
      <c r="C344" s="20">
        <v>1</v>
      </c>
      <c r="D344" s="18">
        <v>18.899999999999999</v>
      </c>
      <c r="E344" s="18">
        <v>48.3</v>
      </c>
      <c r="F344" s="20" t="s">
        <v>1625</v>
      </c>
      <c r="G344" s="17" t="s">
        <v>535</v>
      </c>
      <c r="H344" s="19" t="s">
        <v>62</v>
      </c>
      <c r="I344" s="18">
        <v>12.6</v>
      </c>
      <c r="J344" s="17" t="s">
        <v>42</v>
      </c>
      <c r="K344" s="17" t="s">
        <v>41</v>
      </c>
      <c r="L344" s="17"/>
      <c r="M344" s="17"/>
      <c r="N344" s="16"/>
      <c r="O344" s="30"/>
    </row>
    <row r="345" spans="1:15" ht="48" x14ac:dyDescent="0.25">
      <c r="A345" s="19" t="s">
        <v>1624</v>
      </c>
      <c r="B345" s="17" t="s">
        <v>1623</v>
      </c>
      <c r="C345" s="20">
        <v>2</v>
      </c>
      <c r="D345" s="18">
        <v>13.72</v>
      </c>
      <c r="E345" s="18">
        <v>49</v>
      </c>
      <c r="F345" s="20" t="s">
        <v>1622</v>
      </c>
      <c r="G345" s="17" t="s">
        <v>575</v>
      </c>
      <c r="H345" s="19" t="s">
        <v>69</v>
      </c>
      <c r="I345" s="18">
        <v>9.1466666666666683</v>
      </c>
      <c r="J345" s="17" t="s">
        <v>820</v>
      </c>
      <c r="K345" s="17" t="s">
        <v>67</v>
      </c>
      <c r="L345" s="17"/>
      <c r="M345" s="17"/>
      <c r="N345" s="16"/>
      <c r="O345" s="30"/>
    </row>
    <row r="346" spans="1:15" ht="48" x14ac:dyDescent="0.25">
      <c r="A346" s="19" t="s">
        <v>1621</v>
      </c>
      <c r="B346" s="17" t="s">
        <v>1620</v>
      </c>
      <c r="C346" s="20">
        <v>6</v>
      </c>
      <c r="D346" s="18">
        <v>13.42</v>
      </c>
      <c r="E346" s="18">
        <v>34.299999999999997</v>
      </c>
      <c r="F346" s="20" t="s">
        <v>1617</v>
      </c>
      <c r="G346" s="17" t="s">
        <v>58</v>
      </c>
      <c r="H346" s="19" t="s">
        <v>69</v>
      </c>
      <c r="I346" s="18">
        <v>8.9466666666666672</v>
      </c>
      <c r="J346" s="17" t="s">
        <v>42</v>
      </c>
      <c r="K346" s="17" t="s">
        <v>41</v>
      </c>
      <c r="L346" s="17"/>
      <c r="M346" s="17"/>
      <c r="N346" s="16"/>
      <c r="O346" s="30"/>
    </row>
    <row r="347" spans="1:15" ht="48" x14ac:dyDescent="0.25">
      <c r="A347" s="19" t="s">
        <v>1619</v>
      </c>
      <c r="B347" s="17" t="s">
        <v>1618</v>
      </c>
      <c r="C347" s="20">
        <v>6</v>
      </c>
      <c r="D347" s="18">
        <v>13.42</v>
      </c>
      <c r="E347" s="18">
        <v>34.299999999999997</v>
      </c>
      <c r="F347" s="20" t="s">
        <v>1617</v>
      </c>
      <c r="G347" s="17" t="s">
        <v>58</v>
      </c>
      <c r="H347" s="19" t="s">
        <v>62</v>
      </c>
      <c r="I347" s="18">
        <v>8.9466666666666672</v>
      </c>
      <c r="J347" s="17" t="s">
        <v>42</v>
      </c>
      <c r="K347" s="17" t="s">
        <v>41</v>
      </c>
      <c r="L347" s="17"/>
      <c r="M347" s="17"/>
      <c r="N347" s="16"/>
      <c r="O347" s="30"/>
    </row>
  </sheetData>
  <pageMargins left="0.5" right="0.5" top="0.25" bottom="0.25" header="0.3" footer="0.3"/>
  <pageSetup scale="65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O335"/>
  <sheetViews>
    <sheetView workbookViewId="0">
      <selection activeCell="K2" sqref="K2"/>
    </sheetView>
  </sheetViews>
  <sheetFormatPr defaultColWidth="5.42578125" defaultRowHeight="15" x14ac:dyDescent="0.25"/>
  <cols>
    <col min="1" max="1" width="13.7109375" style="36" customWidth="1"/>
    <col min="2" max="2" width="15.85546875" style="36" customWidth="1"/>
    <col min="3" max="3" width="10.85546875" style="36" customWidth="1"/>
    <col min="4" max="4" width="16.28515625" style="36" customWidth="1"/>
    <col min="5" max="5" width="12.140625" style="36" customWidth="1"/>
    <col min="6" max="6" width="16.140625" style="36" bestFit="1" customWidth="1"/>
    <col min="7" max="7" width="10.5703125" style="36" customWidth="1"/>
    <col min="8" max="8" width="10.28515625" style="36" bestFit="1" customWidth="1"/>
    <col min="9" max="9" width="6.85546875" style="36" bestFit="1" customWidth="1"/>
    <col min="10" max="10" width="15.28515625" style="36" customWidth="1"/>
    <col min="11" max="11" width="11.42578125" style="36" customWidth="1"/>
    <col min="12" max="12" width="10" style="36" customWidth="1"/>
    <col min="13" max="13" width="12.28515625" style="36" customWidth="1"/>
    <col min="14" max="14" width="30" style="36" customWidth="1"/>
    <col min="15" max="15" width="7" style="36" bestFit="1" customWidth="1"/>
    <col min="16" max="16384" width="5.42578125" style="36"/>
  </cols>
  <sheetData>
    <row r="1" spans="1:15" ht="36" x14ac:dyDescent="0.25">
      <c r="A1" s="38" t="s">
        <v>2</v>
      </c>
      <c r="B1" s="38" t="s">
        <v>3</v>
      </c>
      <c r="C1" s="38" t="s">
        <v>5</v>
      </c>
      <c r="D1" s="38" t="s">
        <v>817</v>
      </c>
      <c r="E1" s="38" t="s">
        <v>7</v>
      </c>
      <c r="F1" s="38" t="s">
        <v>816</v>
      </c>
      <c r="G1" s="38" t="s">
        <v>815</v>
      </c>
      <c r="H1" s="38" t="s">
        <v>814</v>
      </c>
      <c r="I1" s="38" t="s">
        <v>10</v>
      </c>
      <c r="J1" s="38"/>
      <c r="K1" s="38"/>
    </row>
    <row r="2" spans="1:15" ht="36" x14ac:dyDescent="0.25">
      <c r="A2" s="17" t="s">
        <v>14</v>
      </c>
      <c r="B2" s="32">
        <v>13974678</v>
      </c>
      <c r="C2" s="17" t="s">
        <v>11</v>
      </c>
      <c r="D2" s="17" t="s">
        <v>813</v>
      </c>
      <c r="E2" s="20">
        <v>1</v>
      </c>
      <c r="F2" s="20">
        <v>4</v>
      </c>
      <c r="G2" s="17">
        <v>483</v>
      </c>
      <c r="H2" s="18">
        <v>51718.58</v>
      </c>
      <c r="I2" s="17">
        <v>795</v>
      </c>
      <c r="J2" s="33"/>
      <c r="K2" s="33"/>
      <c r="L2" s="37"/>
      <c r="M2" s="37"/>
    </row>
    <row r="3" spans="1:15" x14ac:dyDescent="0.25">
      <c r="A3" s="23"/>
      <c r="B3" s="25"/>
      <c r="C3" s="25"/>
      <c r="D3" s="23"/>
      <c r="E3" s="23"/>
      <c r="F3" s="23"/>
      <c r="G3" s="25"/>
      <c r="H3" s="25"/>
      <c r="I3" s="23"/>
      <c r="J3" s="22"/>
      <c r="K3" s="22"/>
      <c r="L3" s="23"/>
      <c r="M3" s="22"/>
      <c r="N3" s="22"/>
    </row>
    <row r="4" spans="1:15" s="39" customFormat="1" x14ac:dyDescent="0.25"/>
    <row r="5" spans="1:15" x14ac:dyDescent="0.25">
      <c r="A5" s="1"/>
      <c r="B5" s="1"/>
      <c r="C5" s="1"/>
      <c r="D5" s="1"/>
    </row>
    <row r="6" spans="1:15" x14ac:dyDescent="0.25">
      <c r="A6" s="24"/>
      <c r="B6" s="23"/>
      <c r="C6" s="22"/>
      <c r="D6" s="22"/>
    </row>
    <row r="7" spans="1:15" s="39" customFormat="1" x14ac:dyDescent="0.25"/>
    <row r="8" spans="1:15" ht="36" x14ac:dyDescent="0.25">
      <c r="A8" s="38" t="s">
        <v>812</v>
      </c>
      <c r="B8" s="38" t="s">
        <v>811</v>
      </c>
      <c r="C8" s="38" t="s">
        <v>810</v>
      </c>
      <c r="D8" s="38" t="s">
        <v>9</v>
      </c>
      <c r="E8" s="38" t="s">
        <v>814</v>
      </c>
      <c r="F8" s="38" t="s">
        <v>809</v>
      </c>
      <c r="G8" s="38" t="s">
        <v>808</v>
      </c>
      <c r="H8" s="38" t="s">
        <v>807</v>
      </c>
      <c r="I8" s="38" t="s">
        <v>806</v>
      </c>
      <c r="J8" s="38" t="s">
        <v>805</v>
      </c>
      <c r="K8" s="38" t="s">
        <v>804</v>
      </c>
      <c r="L8" s="38" t="s">
        <v>803</v>
      </c>
      <c r="M8" s="38" t="s">
        <v>802</v>
      </c>
      <c r="N8" s="38" t="s">
        <v>801</v>
      </c>
    </row>
    <row r="9" spans="1:15" ht="48" x14ac:dyDescent="0.25">
      <c r="A9" s="19" t="s">
        <v>3080</v>
      </c>
      <c r="B9" s="17" t="s">
        <v>3079</v>
      </c>
      <c r="C9" s="20">
        <v>1</v>
      </c>
      <c r="D9" s="18">
        <v>270</v>
      </c>
      <c r="E9" s="18">
        <v>270</v>
      </c>
      <c r="F9" s="20" t="s">
        <v>3078</v>
      </c>
      <c r="G9" s="17" t="s">
        <v>51</v>
      </c>
      <c r="H9" s="19" t="s">
        <v>62</v>
      </c>
      <c r="I9" s="18">
        <v>90</v>
      </c>
      <c r="J9" s="17" t="s">
        <v>133</v>
      </c>
      <c r="K9" s="17" t="s">
        <v>1530</v>
      </c>
      <c r="L9" s="17"/>
      <c r="M9" s="17"/>
      <c r="N9" s="16" t="str">
        <f>HYPERLINK("http://slimages.macys.com/is/image/MCY/19003067 ")</f>
        <v xml:space="preserve">http://slimages.macys.com/is/image/MCY/19003067 </v>
      </c>
      <c r="O9" s="37"/>
    </row>
    <row r="10" spans="1:15" ht="60" x14ac:dyDescent="0.25">
      <c r="A10" s="19" t="s">
        <v>3077</v>
      </c>
      <c r="B10" s="17" t="s">
        <v>3076</v>
      </c>
      <c r="C10" s="20">
        <v>1</v>
      </c>
      <c r="D10" s="18">
        <v>295</v>
      </c>
      <c r="E10" s="18">
        <v>295</v>
      </c>
      <c r="F10" s="20" t="s">
        <v>1586</v>
      </c>
      <c r="G10" s="17" t="s">
        <v>726</v>
      </c>
      <c r="H10" s="19" t="s">
        <v>69</v>
      </c>
      <c r="I10" s="18">
        <v>80.400000000000006</v>
      </c>
      <c r="J10" s="17" t="s">
        <v>133</v>
      </c>
      <c r="K10" s="17" t="s">
        <v>953</v>
      </c>
      <c r="L10" s="17"/>
      <c r="M10" s="17"/>
      <c r="N10" s="16" t="str">
        <f>HYPERLINK("http://slimages.macys.com/is/image/MCY/19449350 ")</f>
        <v xml:space="preserve">http://slimages.macys.com/is/image/MCY/19449350 </v>
      </c>
      <c r="O10" s="37"/>
    </row>
    <row r="11" spans="1:15" ht="60" x14ac:dyDescent="0.25">
      <c r="A11" s="19" t="s">
        <v>3075</v>
      </c>
      <c r="B11" s="17" t="s">
        <v>3074</v>
      </c>
      <c r="C11" s="20">
        <v>2</v>
      </c>
      <c r="D11" s="18">
        <v>275</v>
      </c>
      <c r="E11" s="18">
        <v>550</v>
      </c>
      <c r="F11" s="20" t="s">
        <v>955</v>
      </c>
      <c r="G11" s="17" t="s">
        <v>51</v>
      </c>
      <c r="H11" s="19" t="s">
        <v>69</v>
      </c>
      <c r="I11" s="18">
        <v>75</v>
      </c>
      <c r="J11" s="17" t="s">
        <v>133</v>
      </c>
      <c r="K11" s="17" t="s">
        <v>953</v>
      </c>
      <c r="L11" s="17"/>
      <c r="M11" s="17"/>
      <c r="N11" s="16" t="str">
        <f>HYPERLINK("http://slimages.macys.com/is/image/MCY/19449478 ")</f>
        <v xml:space="preserve">http://slimages.macys.com/is/image/MCY/19449478 </v>
      </c>
      <c r="O11" s="37"/>
    </row>
    <row r="12" spans="1:15" ht="60" x14ac:dyDescent="0.25">
      <c r="A12" s="19" t="s">
        <v>3073</v>
      </c>
      <c r="B12" s="17" t="s">
        <v>3072</v>
      </c>
      <c r="C12" s="20">
        <v>1</v>
      </c>
      <c r="D12" s="18">
        <v>210</v>
      </c>
      <c r="E12" s="18">
        <v>210</v>
      </c>
      <c r="F12" s="20">
        <v>594607196000020</v>
      </c>
      <c r="G12" s="17" t="s">
        <v>282</v>
      </c>
      <c r="H12" s="19" t="s">
        <v>62</v>
      </c>
      <c r="I12" s="18">
        <v>58.666666666666671</v>
      </c>
      <c r="J12" s="17" t="s">
        <v>158</v>
      </c>
      <c r="K12" s="17" t="s">
        <v>157</v>
      </c>
      <c r="L12" s="17"/>
      <c r="M12" s="17"/>
      <c r="N12" s="16" t="str">
        <f>HYPERLINK("http://slimages.macys.com/is/image/MCY/19224035 ")</f>
        <v xml:space="preserve">http://slimages.macys.com/is/image/MCY/19224035 </v>
      </c>
      <c r="O12" s="37"/>
    </row>
    <row r="13" spans="1:15" ht="60" x14ac:dyDescent="0.25">
      <c r="A13" s="19" t="s">
        <v>3071</v>
      </c>
      <c r="B13" s="17" t="s">
        <v>3070</v>
      </c>
      <c r="C13" s="20">
        <v>1</v>
      </c>
      <c r="D13" s="18">
        <v>210</v>
      </c>
      <c r="E13" s="18">
        <v>210</v>
      </c>
      <c r="F13" s="20" t="s">
        <v>2338</v>
      </c>
      <c r="G13" s="17" t="s">
        <v>1382</v>
      </c>
      <c r="H13" s="19" t="s">
        <v>197</v>
      </c>
      <c r="I13" s="18">
        <v>57.000000000000007</v>
      </c>
      <c r="J13" s="17" t="s">
        <v>133</v>
      </c>
      <c r="K13" s="17" t="s">
        <v>953</v>
      </c>
      <c r="L13" s="17"/>
      <c r="M13" s="17"/>
      <c r="N13" s="16" t="str">
        <f>HYPERLINK("http://slimages.macys.com/is/image/MCY/19448682 ")</f>
        <v xml:space="preserve">http://slimages.macys.com/is/image/MCY/19448682 </v>
      </c>
      <c r="O13" s="37"/>
    </row>
    <row r="14" spans="1:15" ht="60" x14ac:dyDescent="0.25">
      <c r="A14" s="19" t="s">
        <v>3069</v>
      </c>
      <c r="B14" s="17" t="s">
        <v>3068</v>
      </c>
      <c r="C14" s="20">
        <v>1</v>
      </c>
      <c r="D14" s="18">
        <v>210</v>
      </c>
      <c r="E14" s="18">
        <v>210</v>
      </c>
      <c r="F14" s="20" t="s">
        <v>2338</v>
      </c>
      <c r="G14" s="17" t="s">
        <v>1382</v>
      </c>
      <c r="H14" s="19" t="s">
        <v>69</v>
      </c>
      <c r="I14" s="18">
        <v>57.000000000000007</v>
      </c>
      <c r="J14" s="17" t="s">
        <v>133</v>
      </c>
      <c r="K14" s="17" t="s">
        <v>953</v>
      </c>
      <c r="L14" s="17"/>
      <c r="M14" s="17"/>
      <c r="N14" s="16" t="str">
        <f>HYPERLINK("http://slimages.macys.com/is/image/MCY/19448682 ")</f>
        <v xml:space="preserve">http://slimages.macys.com/is/image/MCY/19448682 </v>
      </c>
      <c r="O14" s="37"/>
    </row>
    <row r="15" spans="1:15" ht="36" x14ac:dyDescent="0.25">
      <c r="A15" s="19" t="s">
        <v>3067</v>
      </c>
      <c r="B15" s="17" t="s">
        <v>3066</v>
      </c>
      <c r="C15" s="20">
        <v>1</v>
      </c>
      <c r="D15" s="18">
        <v>195</v>
      </c>
      <c r="E15" s="18">
        <v>195</v>
      </c>
      <c r="F15" s="20">
        <v>311126112000020</v>
      </c>
      <c r="G15" s="17" t="s">
        <v>1526</v>
      </c>
      <c r="H15" s="19" t="s">
        <v>682</v>
      </c>
      <c r="I15" s="18">
        <v>54</v>
      </c>
      <c r="J15" s="17" t="s">
        <v>158</v>
      </c>
      <c r="K15" s="17" t="s">
        <v>946</v>
      </c>
      <c r="L15" s="17"/>
      <c r="M15" s="17"/>
      <c r="N15" s="16" t="str">
        <f>HYPERLINK("http://slimages.macys.com/is/image/MCY/18604069 ")</f>
        <v xml:space="preserve">http://slimages.macys.com/is/image/MCY/18604069 </v>
      </c>
      <c r="O15" s="37"/>
    </row>
    <row r="16" spans="1:15" ht="60" x14ac:dyDescent="0.25">
      <c r="A16" s="19" t="s">
        <v>3065</v>
      </c>
      <c r="B16" s="17" t="s">
        <v>3064</v>
      </c>
      <c r="C16" s="20">
        <v>1</v>
      </c>
      <c r="D16" s="18">
        <v>195</v>
      </c>
      <c r="E16" s="18">
        <v>195</v>
      </c>
      <c r="F16" s="20" t="s">
        <v>1551</v>
      </c>
      <c r="G16" s="17" t="s">
        <v>508</v>
      </c>
      <c r="H16" s="19" t="s">
        <v>69</v>
      </c>
      <c r="I16" s="18">
        <v>53.4</v>
      </c>
      <c r="J16" s="17" t="s">
        <v>133</v>
      </c>
      <c r="K16" s="17" t="s">
        <v>953</v>
      </c>
      <c r="L16" s="17"/>
      <c r="M16" s="17"/>
      <c r="N16" s="16" t="str">
        <f>HYPERLINK("http://slimages.macys.com/is/image/MCY/19449277 ")</f>
        <v xml:space="preserve">http://slimages.macys.com/is/image/MCY/19449277 </v>
      </c>
      <c r="O16" s="37"/>
    </row>
    <row r="17" spans="1:15" ht="60" x14ac:dyDescent="0.25">
      <c r="A17" s="19" t="s">
        <v>3063</v>
      </c>
      <c r="B17" s="17" t="s">
        <v>3062</v>
      </c>
      <c r="C17" s="20">
        <v>2</v>
      </c>
      <c r="D17" s="18">
        <v>195</v>
      </c>
      <c r="E17" s="18">
        <v>390</v>
      </c>
      <c r="F17" s="20" t="s">
        <v>1556</v>
      </c>
      <c r="G17" s="17" t="s">
        <v>726</v>
      </c>
      <c r="H17" s="19" t="s">
        <v>69</v>
      </c>
      <c r="I17" s="18">
        <v>53.4</v>
      </c>
      <c r="J17" s="17" t="s">
        <v>133</v>
      </c>
      <c r="K17" s="17" t="s">
        <v>953</v>
      </c>
      <c r="L17" s="17"/>
      <c r="M17" s="17"/>
      <c r="N17" s="16" t="str">
        <f>HYPERLINK("http://slimages.macys.com/is/image/MCY/19448721 ")</f>
        <v xml:space="preserve">http://slimages.macys.com/is/image/MCY/19448721 </v>
      </c>
      <c r="O17" s="37"/>
    </row>
    <row r="18" spans="1:15" ht="36" x14ac:dyDescent="0.25">
      <c r="A18" s="19" t="s">
        <v>3061</v>
      </c>
      <c r="B18" s="17" t="s">
        <v>3060</v>
      </c>
      <c r="C18" s="20">
        <v>1</v>
      </c>
      <c r="D18" s="18">
        <v>178</v>
      </c>
      <c r="E18" s="18">
        <v>178</v>
      </c>
      <c r="F18" s="20" t="s">
        <v>3059</v>
      </c>
      <c r="G18" s="17" t="s">
        <v>51</v>
      </c>
      <c r="H18" s="19" t="s">
        <v>757</v>
      </c>
      <c r="I18" s="18">
        <v>51.04</v>
      </c>
      <c r="J18" s="17" t="s">
        <v>756</v>
      </c>
      <c r="K18" s="17" t="s">
        <v>153</v>
      </c>
      <c r="L18" s="17"/>
      <c r="M18" s="17"/>
      <c r="N18" s="16" t="str">
        <f>HYPERLINK("http://slimages.macys.com/is/image/MCY/18662390 ")</f>
        <v xml:space="preserve">http://slimages.macys.com/is/image/MCY/18662390 </v>
      </c>
      <c r="O18" s="37"/>
    </row>
    <row r="19" spans="1:15" ht="60" x14ac:dyDescent="0.25">
      <c r="A19" s="19" t="s">
        <v>3058</v>
      </c>
      <c r="B19" s="17" t="s">
        <v>3057</v>
      </c>
      <c r="C19" s="20">
        <v>2</v>
      </c>
      <c r="D19" s="18">
        <v>195</v>
      </c>
      <c r="E19" s="18">
        <v>390</v>
      </c>
      <c r="F19" s="20" t="s">
        <v>1540</v>
      </c>
      <c r="G19" s="17" t="s">
        <v>51</v>
      </c>
      <c r="H19" s="19" t="s">
        <v>69</v>
      </c>
      <c r="I19" s="18">
        <v>50.4</v>
      </c>
      <c r="J19" s="17" t="s">
        <v>133</v>
      </c>
      <c r="K19" s="17" t="s">
        <v>953</v>
      </c>
      <c r="L19" s="17"/>
      <c r="M19" s="17"/>
      <c r="N19" s="16" t="str">
        <f>HYPERLINK("http://slimages.macys.com/is/image/MCY/19448688 ")</f>
        <v xml:space="preserve">http://slimages.macys.com/is/image/MCY/19448688 </v>
      </c>
      <c r="O19" s="37"/>
    </row>
    <row r="20" spans="1:15" ht="48" x14ac:dyDescent="0.25">
      <c r="A20" s="19" t="s">
        <v>3056</v>
      </c>
      <c r="B20" s="17" t="s">
        <v>3055</v>
      </c>
      <c r="C20" s="20">
        <v>1</v>
      </c>
      <c r="D20" s="18">
        <v>168</v>
      </c>
      <c r="E20" s="18">
        <v>168</v>
      </c>
      <c r="F20" s="20" t="s">
        <v>3054</v>
      </c>
      <c r="G20" s="17" t="s">
        <v>51</v>
      </c>
      <c r="H20" s="19" t="s">
        <v>3053</v>
      </c>
      <c r="I20" s="18">
        <v>48.14</v>
      </c>
      <c r="J20" s="17" t="s">
        <v>756</v>
      </c>
      <c r="K20" s="17" t="s">
        <v>153</v>
      </c>
      <c r="L20" s="17"/>
      <c r="M20" s="17"/>
      <c r="N20" s="16" t="str">
        <f>HYPERLINK("http://slimages.macys.com/is/image/MCY/18996672 ")</f>
        <v xml:space="preserve">http://slimages.macys.com/is/image/MCY/18996672 </v>
      </c>
      <c r="O20" s="37"/>
    </row>
    <row r="21" spans="1:15" ht="36" x14ac:dyDescent="0.25">
      <c r="A21" s="19" t="s">
        <v>3052</v>
      </c>
      <c r="B21" s="17" t="s">
        <v>3051</v>
      </c>
      <c r="C21" s="20">
        <v>1</v>
      </c>
      <c r="D21" s="18">
        <v>145</v>
      </c>
      <c r="E21" s="18">
        <v>145</v>
      </c>
      <c r="F21" s="20" t="s">
        <v>3050</v>
      </c>
      <c r="G21" s="17" t="s">
        <v>51</v>
      </c>
      <c r="H21" s="19" t="s">
        <v>57</v>
      </c>
      <c r="I21" s="18">
        <v>44</v>
      </c>
      <c r="J21" s="17" t="s">
        <v>133</v>
      </c>
      <c r="K21" s="17" t="s">
        <v>1437</v>
      </c>
      <c r="L21" s="17"/>
      <c r="M21" s="17"/>
      <c r="N21" s="16" t="str">
        <f>HYPERLINK("http://slimages.macys.com/is/image/MCY/19563861 ")</f>
        <v xml:space="preserve">http://slimages.macys.com/is/image/MCY/19563861 </v>
      </c>
      <c r="O21" s="37"/>
    </row>
    <row r="22" spans="1:15" ht="24" x14ac:dyDescent="0.25">
      <c r="A22" s="19" t="s">
        <v>3049</v>
      </c>
      <c r="B22" s="17" t="s">
        <v>3048</v>
      </c>
      <c r="C22" s="20">
        <v>1</v>
      </c>
      <c r="D22" s="18">
        <v>132</v>
      </c>
      <c r="E22" s="18">
        <v>132</v>
      </c>
      <c r="F22" s="20" t="s">
        <v>3045</v>
      </c>
      <c r="G22" s="17" t="s">
        <v>3009</v>
      </c>
      <c r="H22" s="19" t="s">
        <v>57</v>
      </c>
      <c r="I22" s="18">
        <v>40</v>
      </c>
      <c r="J22" s="17" t="s">
        <v>133</v>
      </c>
      <c r="K22" s="17" t="s">
        <v>1437</v>
      </c>
      <c r="L22" s="17"/>
      <c r="M22" s="17"/>
      <c r="N22" s="16" t="str">
        <f>HYPERLINK("http://slimages.macys.com/is/image/MCY/19563593 ")</f>
        <v xml:space="preserve">http://slimages.macys.com/is/image/MCY/19563593 </v>
      </c>
      <c r="O22" s="37"/>
    </row>
    <row r="23" spans="1:15" ht="24" x14ac:dyDescent="0.25">
      <c r="A23" s="19" t="s">
        <v>3047</v>
      </c>
      <c r="B23" s="17" t="s">
        <v>3046</v>
      </c>
      <c r="C23" s="20">
        <v>1</v>
      </c>
      <c r="D23" s="18">
        <v>132</v>
      </c>
      <c r="E23" s="18">
        <v>132</v>
      </c>
      <c r="F23" s="20" t="s">
        <v>3045</v>
      </c>
      <c r="G23" s="17" t="s">
        <v>3009</v>
      </c>
      <c r="H23" s="19" t="s">
        <v>74</v>
      </c>
      <c r="I23" s="18">
        <v>40</v>
      </c>
      <c r="J23" s="17" t="s">
        <v>133</v>
      </c>
      <c r="K23" s="17" t="s">
        <v>1437</v>
      </c>
      <c r="L23" s="17"/>
      <c r="M23" s="17"/>
      <c r="N23" s="16" t="str">
        <f>HYPERLINK("http://slimages.macys.com/is/image/MCY/19563593 ")</f>
        <v xml:space="preserve">http://slimages.macys.com/is/image/MCY/19563593 </v>
      </c>
      <c r="O23" s="37"/>
    </row>
    <row r="24" spans="1:15" ht="60" x14ac:dyDescent="0.25">
      <c r="A24" s="19" t="s">
        <v>3044</v>
      </c>
      <c r="B24" s="17" t="s">
        <v>3043</v>
      </c>
      <c r="C24" s="20">
        <v>2</v>
      </c>
      <c r="D24" s="18">
        <v>145</v>
      </c>
      <c r="E24" s="18">
        <v>290</v>
      </c>
      <c r="F24" s="20" t="s">
        <v>1512</v>
      </c>
      <c r="G24" s="17" t="s">
        <v>1382</v>
      </c>
      <c r="H24" s="19" t="s">
        <v>69</v>
      </c>
      <c r="I24" s="18">
        <v>39.6</v>
      </c>
      <c r="J24" s="17" t="s">
        <v>133</v>
      </c>
      <c r="K24" s="17" t="s">
        <v>953</v>
      </c>
      <c r="L24" s="17"/>
      <c r="M24" s="17"/>
      <c r="N24" s="16" t="str">
        <f>HYPERLINK("http://slimages.macys.com/is/image/MCY/19449554 ")</f>
        <v xml:space="preserve">http://slimages.macys.com/is/image/MCY/19449554 </v>
      </c>
      <c r="O24" s="37"/>
    </row>
    <row r="25" spans="1:15" ht="60" x14ac:dyDescent="0.25">
      <c r="A25" s="19" t="s">
        <v>1525</v>
      </c>
      <c r="B25" s="17" t="s">
        <v>1524</v>
      </c>
      <c r="C25" s="20">
        <v>1</v>
      </c>
      <c r="D25" s="18">
        <v>145</v>
      </c>
      <c r="E25" s="18">
        <v>145</v>
      </c>
      <c r="F25" s="20" t="s">
        <v>1517</v>
      </c>
      <c r="G25" s="17" t="s">
        <v>1382</v>
      </c>
      <c r="H25" s="19" t="s">
        <v>69</v>
      </c>
      <c r="I25" s="18">
        <v>39.6</v>
      </c>
      <c r="J25" s="17" t="s">
        <v>133</v>
      </c>
      <c r="K25" s="17" t="s">
        <v>953</v>
      </c>
      <c r="L25" s="17"/>
      <c r="M25" s="17"/>
      <c r="N25" s="16" t="str">
        <f>HYPERLINK("http://slimages.macys.com/is/image/MCY/19449305 ")</f>
        <v xml:space="preserve">http://slimages.macys.com/is/image/MCY/19449305 </v>
      </c>
      <c r="O25" s="37"/>
    </row>
    <row r="26" spans="1:15" ht="48" x14ac:dyDescent="0.25">
      <c r="A26" s="19" t="s">
        <v>3042</v>
      </c>
      <c r="B26" s="17" t="s">
        <v>3041</v>
      </c>
      <c r="C26" s="20">
        <v>3</v>
      </c>
      <c r="D26" s="18">
        <v>168</v>
      </c>
      <c r="E26" s="18">
        <v>504</v>
      </c>
      <c r="F26" s="20" t="s">
        <v>3038</v>
      </c>
      <c r="G26" s="17" t="s">
        <v>3037</v>
      </c>
      <c r="H26" s="19" t="s">
        <v>62</v>
      </c>
      <c r="I26" s="18">
        <v>37.073333333333338</v>
      </c>
      <c r="J26" s="17" t="s">
        <v>49</v>
      </c>
      <c r="K26" s="17" t="s">
        <v>48</v>
      </c>
      <c r="L26" s="17"/>
      <c r="M26" s="17"/>
      <c r="N26" s="16" t="str">
        <f>HYPERLINK("http://slimages.macys.com/is/image/MCY/18989779 ")</f>
        <v xml:space="preserve">http://slimages.macys.com/is/image/MCY/18989779 </v>
      </c>
      <c r="O26" s="37"/>
    </row>
    <row r="27" spans="1:15" ht="48" x14ac:dyDescent="0.25">
      <c r="A27" s="19" t="s">
        <v>3040</v>
      </c>
      <c r="B27" s="17" t="s">
        <v>3039</v>
      </c>
      <c r="C27" s="20">
        <v>2</v>
      </c>
      <c r="D27" s="18">
        <v>168</v>
      </c>
      <c r="E27" s="18">
        <v>336</v>
      </c>
      <c r="F27" s="20" t="s">
        <v>3038</v>
      </c>
      <c r="G27" s="17" t="s">
        <v>3037</v>
      </c>
      <c r="H27" s="19" t="s">
        <v>17</v>
      </c>
      <c r="I27" s="18">
        <v>37.073333333333338</v>
      </c>
      <c r="J27" s="17" t="s">
        <v>49</v>
      </c>
      <c r="K27" s="17" t="s">
        <v>48</v>
      </c>
      <c r="L27" s="17"/>
      <c r="M27" s="17"/>
      <c r="N27" s="16" t="str">
        <f>HYPERLINK("http://slimages.macys.com/is/image/MCY/18989779 ")</f>
        <v xml:space="preserve">http://slimages.macys.com/is/image/MCY/18989779 </v>
      </c>
      <c r="O27" s="37"/>
    </row>
    <row r="28" spans="1:15" ht="60" x14ac:dyDescent="0.25">
      <c r="A28" s="19" t="s">
        <v>3036</v>
      </c>
      <c r="B28" s="17" t="s">
        <v>3035</v>
      </c>
      <c r="C28" s="20">
        <v>1</v>
      </c>
      <c r="D28" s="18">
        <v>135</v>
      </c>
      <c r="E28" s="18">
        <v>135</v>
      </c>
      <c r="F28" s="20" t="s">
        <v>1493</v>
      </c>
      <c r="G28" s="17" t="s">
        <v>75</v>
      </c>
      <c r="H28" s="19" t="s">
        <v>69</v>
      </c>
      <c r="I28" s="18">
        <v>36.6</v>
      </c>
      <c r="J28" s="17" t="s">
        <v>133</v>
      </c>
      <c r="K28" s="17" t="s">
        <v>953</v>
      </c>
      <c r="L28" s="17"/>
      <c r="M28" s="17"/>
      <c r="N28" s="16" t="str">
        <f>HYPERLINK("http://slimages.macys.com/is/image/MCY/19499558 ")</f>
        <v xml:space="preserve">http://slimages.macys.com/is/image/MCY/19499558 </v>
      </c>
      <c r="O28" s="37"/>
    </row>
    <row r="29" spans="1:15" ht="60" x14ac:dyDescent="0.25">
      <c r="A29" s="19" t="s">
        <v>3034</v>
      </c>
      <c r="B29" s="17" t="s">
        <v>3033</v>
      </c>
      <c r="C29" s="20">
        <v>1</v>
      </c>
      <c r="D29" s="18">
        <v>135</v>
      </c>
      <c r="E29" s="18">
        <v>135</v>
      </c>
      <c r="F29" s="20" t="s">
        <v>1493</v>
      </c>
      <c r="G29" s="17" t="s">
        <v>51</v>
      </c>
      <c r="H29" s="19" t="s">
        <v>69</v>
      </c>
      <c r="I29" s="18">
        <v>36.6</v>
      </c>
      <c r="J29" s="17" t="s">
        <v>133</v>
      </c>
      <c r="K29" s="17" t="s">
        <v>953</v>
      </c>
      <c r="L29" s="17"/>
      <c r="M29" s="17"/>
      <c r="N29" s="16" t="str">
        <f>HYPERLINK("http://slimages.macys.com/is/image/MCY/19499558 ")</f>
        <v xml:space="preserve">http://slimages.macys.com/is/image/MCY/19499558 </v>
      </c>
      <c r="O29" s="37"/>
    </row>
    <row r="30" spans="1:15" ht="60" x14ac:dyDescent="0.25">
      <c r="A30" s="19" t="s">
        <v>2259</v>
      </c>
      <c r="B30" s="17" t="s">
        <v>2258</v>
      </c>
      <c r="C30" s="20">
        <v>1</v>
      </c>
      <c r="D30" s="18">
        <v>135</v>
      </c>
      <c r="E30" s="18">
        <v>135</v>
      </c>
      <c r="F30" s="20" t="s">
        <v>1493</v>
      </c>
      <c r="G30" s="17" t="s">
        <v>23</v>
      </c>
      <c r="H30" s="19" t="s">
        <v>69</v>
      </c>
      <c r="I30" s="18">
        <v>36.6</v>
      </c>
      <c r="J30" s="17" t="s">
        <v>133</v>
      </c>
      <c r="K30" s="17" t="s">
        <v>953</v>
      </c>
      <c r="L30" s="17"/>
      <c r="M30" s="17"/>
      <c r="N30" s="16" t="str">
        <f>HYPERLINK("http://slimages.macys.com/is/image/MCY/19499558 ")</f>
        <v xml:space="preserve">http://slimages.macys.com/is/image/MCY/19499558 </v>
      </c>
      <c r="O30" s="37"/>
    </row>
    <row r="31" spans="1:15" ht="60" x14ac:dyDescent="0.25">
      <c r="A31" s="19" t="s">
        <v>3032</v>
      </c>
      <c r="B31" s="17" t="s">
        <v>3031</v>
      </c>
      <c r="C31" s="20">
        <v>1</v>
      </c>
      <c r="D31" s="18">
        <v>135</v>
      </c>
      <c r="E31" s="18">
        <v>135</v>
      </c>
      <c r="F31" s="20" t="s">
        <v>1493</v>
      </c>
      <c r="G31" s="17" t="s">
        <v>75</v>
      </c>
      <c r="H31" s="19" t="s">
        <v>954</v>
      </c>
      <c r="I31" s="18">
        <v>36.6</v>
      </c>
      <c r="J31" s="17" t="s">
        <v>133</v>
      </c>
      <c r="K31" s="17" t="s">
        <v>953</v>
      </c>
      <c r="L31" s="17"/>
      <c r="M31" s="17"/>
      <c r="N31" s="16" t="str">
        <f>HYPERLINK("http://slimages.macys.com/is/image/MCY/19499558 ")</f>
        <v xml:space="preserve">http://slimages.macys.com/is/image/MCY/19499558 </v>
      </c>
      <c r="O31" s="37"/>
    </row>
    <row r="32" spans="1:15" ht="60" x14ac:dyDescent="0.25">
      <c r="A32" s="19" t="s">
        <v>3030</v>
      </c>
      <c r="B32" s="17" t="s">
        <v>3029</v>
      </c>
      <c r="C32" s="20">
        <v>1</v>
      </c>
      <c r="D32" s="18">
        <v>138</v>
      </c>
      <c r="E32" s="18">
        <v>138</v>
      </c>
      <c r="F32" s="20" t="s">
        <v>3026</v>
      </c>
      <c r="G32" s="17" t="s">
        <v>237</v>
      </c>
      <c r="H32" s="19" t="s">
        <v>57</v>
      </c>
      <c r="I32" s="18">
        <v>35.700000000000003</v>
      </c>
      <c r="J32" s="17" t="s">
        <v>133</v>
      </c>
      <c r="K32" s="17" t="s">
        <v>584</v>
      </c>
      <c r="L32" s="17"/>
      <c r="M32" s="17"/>
      <c r="N32" s="16" t="str">
        <f>HYPERLINK("http://slimages.macys.com/is/image/MCY/19562207 ")</f>
        <v xml:space="preserve">http://slimages.macys.com/is/image/MCY/19562207 </v>
      </c>
      <c r="O32" s="37"/>
    </row>
    <row r="33" spans="1:15" ht="48" x14ac:dyDescent="0.25">
      <c r="A33" s="19" t="s">
        <v>3028</v>
      </c>
      <c r="B33" s="17" t="s">
        <v>3027</v>
      </c>
      <c r="C33" s="20">
        <v>1</v>
      </c>
      <c r="D33" s="18">
        <v>138</v>
      </c>
      <c r="E33" s="18">
        <v>138</v>
      </c>
      <c r="F33" s="20" t="s">
        <v>3026</v>
      </c>
      <c r="G33" s="17" t="s">
        <v>237</v>
      </c>
      <c r="H33" s="19" t="s">
        <v>74</v>
      </c>
      <c r="I33" s="18">
        <v>35.700000000000003</v>
      </c>
      <c r="J33" s="17" t="s">
        <v>133</v>
      </c>
      <c r="K33" s="17" t="s">
        <v>584</v>
      </c>
      <c r="L33" s="17" t="s">
        <v>3025</v>
      </c>
      <c r="M33" s="17" t="s">
        <v>662</v>
      </c>
      <c r="N33" s="16" t="str">
        <f>HYPERLINK("http://images.bloomingdales.com/is/image/BLM/11617984 ")</f>
        <v xml:space="preserve">http://images.bloomingdales.com/is/image/BLM/11617984 </v>
      </c>
      <c r="O33" s="37"/>
    </row>
    <row r="34" spans="1:15" ht="60" x14ac:dyDescent="0.25">
      <c r="A34" s="19" t="s">
        <v>3024</v>
      </c>
      <c r="B34" s="17" t="s">
        <v>3023</v>
      </c>
      <c r="C34" s="20">
        <v>1</v>
      </c>
      <c r="D34" s="18">
        <v>125</v>
      </c>
      <c r="E34" s="18">
        <v>125</v>
      </c>
      <c r="F34" s="20" t="s">
        <v>1483</v>
      </c>
      <c r="G34" s="17" t="s">
        <v>75</v>
      </c>
      <c r="H34" s="19" t="s">
        <v>74</v>
      </c>
      <c r="I34" s="18">
        <v>34.200000000000003</v>
      </c>
      <c r="J34" s="17" t="s">
        <v>133</v>
      </c>
      <c r="K34" s="17" t="s">
        <v>953</v>
      </c>
      <c r="L34" s="17"/>
      <c r="M34" s="17"/>
      <c r="N34" s="16" t="str">
        <f>HYPERLINK("http://slimages.macys.com/is/image/MCY/19449331 ")</f>
        <v xml:space="preserve">http://slimages.macys.com/is/image/MCY/19449331 </v>
      </c>
      <c r="O34" s="37"/>
    </row>
    <row r="35" spans="1:15" ht="60" x14ac:dyDescent="0.25">
      <c r="A35" s="19" t="s">
        <v>1485</v>
      </c>
      <c r="B35" s="17" t="s">
        <v>1484</v>
      </c>
      <c r="C35" s="20">
        <v>1</v>
      </c>
      <c r="D35" s="18">
        <v>125</v>
      </c>
      <c r="E35" s="18">
        <v>125</v>
      </c>
      <c r="F35" s="20" t="s">
        <v>1483</v>
      </c>
      <c r="G35" s="17" t="s">
        <v>75</v>
      </c>
      <c r="H35" s="19" t="s">
        <v>62</v>
      </c>
      <c r="I35" s="18">
        <v>34.200000000000003</v>
      </c>
      <c r="J35" s="17" t="s">
        <v>133</v>
      </c>
      <c r="K35" s="17" t="s">
        <v>953</v>
      </c>
      <c r="L35" s="17"/>
      <c r="M35" s="17"/>
      <c r="N35" s="16" t="str">
        <f>HYPERLINK("http://slimages.macys.com/is/image/MCY/19449331 ")</f>
        <v xml:space="preserve">http://slimages.macys.com/is/image/MCY/19449331 </v>
      </c>
      <c r="O35" s="37"/>
    </row>
    <row r="36" spans="1:15" ht="60" x14ac:dyDescent="0.25">
      <c r="A36" s="19" t="s">
        <v>3022</v>
      </c>
      <c r="B36" s="17" t="s">
        <v>3021</v>
      </c>
      <c r="C36" s="20">
        <v>2</v>
      </c>
      <c r="D36" s="18">
        <v>125</v>
      </c>
      <c r="E36" s="18">
        <v>250</v>
      </c>
      <c r="F36" s="20" t="s">
        <v>1483</v>
      </c>
      <c r="G36" s="17" t="s">
        <v>1486</v>
      </c>
      <c r="H36" s="19" t="s">
        <v>69</v>
      </c>
      <c r="I36" s="18">
        <v>34.200000000000003</v>
      </c>
      <c r="J36" s="17" t="s">
        <v>133</v>
      </c>
      <c r="K36" s="17" t="s">
        <v>953</v>
      </c>
      <c r="L36" s="17"/>
      <c r="M36" s="17"/>
      <c r="N36" s="16" t="str">
        <f>HYPERLINK("http://slimages.macys.com/is/image/MCY/19449331 ")</f>
        <v xml:space="preserve">http://slimages.macys.com/is/image/MCY/19449331 </v>
      </c>
      <c r="O36" s="37"/>
    </row>
    <row r="37" spans="1:15" ht="24" x14ac:dyDescent="0.25">
      <c r="A37" s="19" t="s">
        <v>3020</v>
      </c>
      <c r="B37" s="17" t="s">
        <v>3019</v>
      </c>
      <c r="C37" s="20">
        <v>3</v>
      </c>
      <c r="D37" s="18">
        <v>110</v>
      </c>
      <c r="E37" s="18">
        <v>330</v>
      </c>
      <c r="F37" s="20" t="s">
        <v>3010</v>
      </c>
      <c r="G37" s="17" t="s">
        <v>23</v>
      </c>
      <c r="H37" s="19" t="s">
        <v>69</v>
      </c>
      <c r="I37" s="18">
        <v>33.333333333333336</v>
      </c>
      <c r="J37" s="17" t="s">
        <v>133</v>
      </c>
      <c r="K37" s="17" t="s">
        <v>1437</v>
      </c>
      <c r="L37" s="17"/>
      <c r="M37" s="17"/>
      <c r="N37" s="16" t="str">
        <f>HYPERLINK("http://slimages.macys.com/is/image/MCY/19563601 ")</f>
        <v xml:space="preserve">http://slimages.macys.com/is/image/MCY/19563601 </v>
      </c>
      <c r="O37" s="37"/>
    </row>
    <row r="38" spans="1:15" ht="24" x14ac:dyDescent="0.25">
      <c r="A38" s="19" t="s">
        <v>3018</v>
      </c>
      <c r="B38" s="17" t="s">
        <v>3017</v>
      </c>
      <c r="C38" s="20">
        <v>8</v>
      </c>
      <c r="D38" s="18">
        <v>110</v>
      </c>
      <c r="E38" s="18">
        <v>880</v>
      </c>
      <c r="F38" s="20" t="s">
        <v>3010</v>
      </c>
      <c r="G38" s="17" t="s">
        <v>23</v>
      </c>
      <c r="H38" s="19" t="s">
        <v>62</v>
      </c>
      <c r="I38" s="18">
        <v>33.333333333333336</v>
      </c>
      <c r="J38" s="17" t="s">
        <v>133</v>
      </c>
      <c r="K38" s="17" t="s">
        <v>1437</v>
      </c>
      <c r="L38" s="17"/>
      <c r="M38" s="17"/>
      <c r="N38" s="16" t="str">
        <f>HYPERLINK("http://slimages.macys.com/is/image/MCY/19563601 ")</f>
        <v xml:space="preserve">http://slimages.macys.com/is/image/MCY/19563601 </v>
      </c>
      <c r="O38" s="37"/>
    </row>
    <row r="39" spans="1:15" ht="24" x14ac:dyDescent="0.25">
      <c r="A39" s="19" t="s">
        <v>3016</v>
      </c>
      <c r="B39" s="17" t="s">
        <v>3015</v>
      </c>
      <c r="C39" s="20">
        <v>5</v>
      </c>
      <c r="D39" s="18">
        <v>110</v>
      </c>
      <c r="E39" s="18">
        <v>550</v>
      </c>
      <c r="F39" s="20" t="s">
        <v>3010</v>
      </c>
      <c r="G39" s="17" t="s">
        <v>3009</v>
      </c>
      <c r="H39" s="19" t="s">
        <v>62</v>
      </c>
      <c r="I39" s="18">
        <v>33.333333333333336</v>
      </c>
      <c r="J39" s="17" t="s">
        <v>133</v>
      </c>
      <c r="K39" s="17" t="s">
        <v>1437</v>
      </c>
      <c r="L39" s="17"/>
      <c r="M39" s="17"/>
      <c r="N39" s="16" t="str">
        <f>HYPERLINK("http://slimages.macys.com/is/image/MCY/19563601 ")</f>
        <v xml:space="preserve">http://slimages.macys.com/is/image/MCY/19563601 </v>
      </c>
      <c r="O39" s="37"/>
    </row>
    <row r="40" spans="1:15" ht="24" x14ac:dyDescent="0.25">
      <c r="A40" s="19" t="s">
        <v>3014</v>
      </c>
      <c r="B40" s="17" t="s">
        <v>3013</v>
      </c>
      <c r="C40" s="20">
        <v>2</v>
      </c>
      <c r="D40" s="18">
        <v>110</v>
      </c>
      <c r="E40" s="18">
        <v>220</v>
      </c>
      <c r="F40" s="20" t="s">
        <v>3010</v>
      </c>
      <c r="G40" s="17" t="s">
        <v>3009</v>
      </c>
      <c r="H40" s="19" t="s">
        <v>69</v>
      </c>
      <c r="I40" s="18">
        <v>33.333333333333336</v>
      </c>
      <c r="J40" s="17" t="s">
        <v>133</v>
      </c>
      <c r="K40" s="17" t="s">
        <v>1437</v>
      </c>
      <c r="L40" s="17"/>
      <c r="M40" s="17"/>
      <c r="N40" s="16" t="str">
        <f>HYPERLINK("http://slimages.macys.com/is/image/MCY/19563601 ")</f>
        <v xml:space="preserve">http://slimages.macys.com/is/image/MCY/19563601 </v>
      </c>
      <c r="O40" s="37"/>
    </row>
    <row r="41" spans="1:15" ht="24" x14ac:dyDescent="0.25">
      <c r="A41" s="19" t="s">
        <v>3012</v>
      </c>
      <c r="B41" s="17" t="s">
        <v>3011</v>
      </c>
      <c r="C41" s="20">
        <v>3</v>
      </c>
      <c r="D41" s="18">
        <v>110</v>
      </c>
      <c r="E41" s="18">
        <v>330</v>
      </c>
      <c r="F41" s="20" t="s">
        <v>3010</v>
      </c>
      <c r="G41" s="17" t="s">
        <v>3009</v>
      </c>
      <c r="H41" s="19" t="s">
        <v>74</v>
      </c>
      <c r="I41" s="18">
        <v>33.333333333333336</v>
      </c>
      <c r="J41" s="17" t="s">
        <v>133</v>
      </c>
      <c r="K41" s="17" t="s">
        <v>1437</v>
      </c>
      <c r="L41" s="17"/>
      <c r="M41" s="17"/>
      <c r="N41" s="16" t="str">
        <f>HYPERLINK("http://slimages.macys.com/is/image/MCY/19563601 ")</f>
        <v xml:space="preserve">http://slimages.macys.com/is/image/MCY/19563601 </v>
      </c>
      <c r="O41" s="37"/>
    </row>
    <row r="42" spans="1:15" ht="48" x14ac:dyDescent="0.25">
      <c r="A42" s="19" t="s">
        <v>3008</v>
      </c>
      <c r="B42" s="17" t="s">
        <v>3007</v>
      </c>
      <c r="C42" s="20">
        <v>1</v>
      </c>
      <c r="D42" s="18">
        <v>150</v>
      </c>
      <c r="E42" s="18">
        <v>150</v>
      </c>
      <c r="F42" s="20" t="s">
        <v>3006</v>
      </c>
      <c r="G42" s="17" t="s">
        <v>206</v>
      </c>
      <c r="H42" s="19" t="s">
        <v>57</v>
      </c>
      <c r="I42" s="18">
        <v>33</v>
      </c>
      <c r="J42" s="17" t="s">
        <v>158</v>
      </c>
      <c r="K42" s="17" t="s">
        <v>3005</v>
      </c>
      <c r="L42" s="17"/>
      <c r="M42" s="17"/>
      <c r="N42" s="16" t="str">
        <f>HYPERLINK("http://slimages.macys.com/is/image/MCY/18672806 ")</f>
        <v xml:space="preserve">http://slimages.macys.com/is/image/MCY/18672806 </v>
      </c>
      <c r="O42" s="37"/>
    </row>
    <row r="43" spans="1:15" ht="60" x14ac:dyDescent="0.25">
      <c r="A43" s="19" t="s">
        <v>3004</v>
      </c>
      <c r="B43" s="17" t="s">
        <v>3003</v>
      </c>
      <c r="C43" s="20">
        <v>1</v>
      </c>
      <c r="D43" s="18">
        <v>159.5</v>
      </c>
      <c r="E43" s="18">
        <v>159.5</v>
      </c>
      <c r="F43" s="20" t="s">
        <v>3002</v>
      </c>
      <c r="G43" s="17" t="s">
        <v>51</v>
      </c>
      <c r="H43" s="19" t="s">
        <v>69</v>
      </c>
      <c r="I43" s="18">
        <v>32.13333333333334</v>
      </c>
      <c r="J43" s="17" t="s">
        <v>106</v>
      </c>
      <c r="K43" s="17" t="s">
        <v>105</v>
      </c>
      <c r="L43" s="17"/>
      <c r="M43" s="17"/>
      <c r="N43" s="16" t="str">
        <f>HYPERLINK("http://slimages.macys.com/is/image/MCY/19900119 ")</f>
        <v xml:space="preserve">http://slimages.macys.com/is/image/MCY/19900119 </v>
      </c>
      <c r="O43" s="37"/>
    </row>
    <row r="44" spans="1:15" ht="48" x14ac:dyDescent="0.25">
      <c r="A44" s="19" t="s">
        <v>3001</v>
      </c>
      <c r="B44" s="17" t="s">
        <v>3000</v>
      </c>
      <c r="C44" s="20">
        <v>1</v>
      </c>
      <c r="D44" s="18">
        <v>139.5</v>
      </c>
      <c r="E44" s="18">
        <v>139.5</v>
      </c>
      <c r="F44" s="20" t="s">
        <v>2999</v>
      </c>
      <c r="G44" s="17" t="s">
        <v>544</v>
      </c>
      <c r="H44" s="19" t="s">
        <v>658</v>
      </c>
      <c r="I44" s="18">
        <v>30.693333333333335</v>
      </c>
      <c r="J44" s="17" t="s">
        <v>654</v>
      </c>
      <c r="K44" s="17" t="s">
        <v>653</v>
      </c>
      <c r="L44" s="17"/>
      <c r="M44" s="17"/>
      <c r="N44" s="16" t="str">
        <f>HYPERLINK("http://slimages.macys.com/is/image/MCY/19608799 ")</f>
        <v xml:space="preserve">http://slimages.macys.com/is/image/MCY/19608799 </v>
      </c>
      <c r="O44" s="37"/>
    </row>
    <row r="45" spans="1:15" ht="24" x14ac:dyDescent="0.25">
      <c r="A45" s="19" t="s">
        <v>2998</v>
      </c>
      <c r="B45" s="17" t="s">
        <v>2997</v>
      </c>
      <c r="C45" s="20">
        <v>5</v>
      </c>
      <c r="D45" s="18">
        <v>99</v>
      </c>
      <c r="E45" s="18">
        <v>495</v>
      </c>
      <c r="F45" s="20" t="s">
        <v>2988</v>
      </c>
      <c r="G45" s="17" t="s">
        <v>23</v>
      </c>
      <c r="H45" s="19" t="s">
        <v>74</v>
      </c>
      <c r="I45" s="18">
        <v>30</v>
      </c>
      <c r="J45" s="17" t="s">
        <v>133</v>
      </c>
      <c r="K45" s="17" t="s">
        <v>1437</v>
      </c>
      <c r="L45" s="17"/>
      <c r="M45" s="17"/>
      <c r="N45" s="16" t="str">
        <f>HYPERLINK("http://slimages.macys.com/is/image/MCY/19563649 ")</f>
        <v xml:space="preserve">http://slimages.macys.com/is/image/MCY/19563649 </v>
      </c>
      <c r="O45" s="37"/>
    </row>
    <row r="46" spans="1:15" ht="24" x14ac:dyDescent="0.25">
      <c r="A46" s="19" t="s">
        <v>2996</v>
      </c>
      <c r="B46" s="17" t="s">
        <v>2995</v>
      </c>
      <c r="C46" s="20">
        <v>1</v>
      </c>
      <c r="D46" s="18">
        <v>99</v>
      </c>
      <c r="E46" s="18">
        <v>99</v>
      </c>
      <c r="F46" s="20" t="s">
        <v>2988</v>
      </c>
      <c r="G46" s="17" t="s">
        <v>23</v>
      </c>
      <c r="H46" s="19" t="s">
        <v>197</v>
      </c>
      <c r="I46" s="18">
        <v>30</v>
      </c>
      <c r="J46" s="17" t="s">
        <v>133</v>
      </c>
      <c r="K46" s="17" t="s">
        <v>1437</v>
      </c>
      <c r="L46" s="17"/>
      <c r="M46" s="17"/>
      <c r="N46" s="16" t="str">
        <f>HYPERLINK("http://slimages.macys.com/is/image/MCY/19563649 ")</f>
        <v xml:space="preserve">http://slimages.macys.com/is/image/MCY/19563649 </v>
      </c>
      <c r="O46" s="37"/>
    </row>
    <row r="47" spans="1:15" ht="24" x14ac:dyDescent="0.25">
      <c r="A47" s="19" t="s">
        <v>2994</v>
      </c>
      <c r="B47" s="17" t="s">
        <v>2993</v>
      </c>
      <c r="C47" s="20">
        <v>1</v>
      </c>
      <c r="D47" s="18">
        <v>99</v>
      </c>
      <c r="E47" s="18">
        <v>99</v>
      </c>
      <c r="F47" s="20" t="s">
        <v>2988</v>
      </c>
      <c r="G47" s="17" t="s">
        <v>23</v>
      </c>
      <c r="H47" s="19" t="s">
        <v>62</v>
      </c>
      <c r="I47" s="18">
        <v>30</v>
      </c>
      <c r="J47" s="17" t="s">
        <v>133</v>
      </c>
      <c r="K47" s="17" t="s">
        <v>1437</v>
      </c>
      <c r="L47" s="17"/>
      <c r="M47" s="17"/>
      <c r="N47" s="16" t="str">
        <f>HYPERLINK("http://slimages.macys.com/is/image/MCY/19563649 ")</f>
        <v xml:space="preserve">http://slimages.macys.com/is/image/MCY/19563649 </v>
      </c>
      <c r="O47" s="37"/>
    </row>
    <row r="48" spans="1:15" ht="24" x14ac:dyDescent="0.25">
      <c r="A48" s="19" t="s">
        <v>2992</v>
      </c>
      <c r="B48" s="17" t="s">
        <v>2991</v>
      </c>
      <c r="C48" s="20">
        <v>1</v>
      </c>
      <c r="D48" s="18">
        <v>99</v>
      </c>
      <c r="E48" s="18">
        <v>99</v>
      </c>
      <c r="F48" s="20" t="s">
        <v>2988</v>
      </c>
      <c r="G48" s="17" t="s">
        <v>91</v>
      </c>
      <c r="H48" s="19" t="s">
        <v>57</v>
      </c>
      <c r="I48" s="18">
        <v>30</v>
      </c>
      <c r="J48" s="17" t="s">
        <v>133</v>
      </c>
      <c r="K48" s="17" t="s">
        <v>1437</v>
      </c>
      <c r="L48" s="17"/>
      <c r="M48" s="17"/>
      <c r="N48" s="16" t="str">
        <f>HYPERLINK("http://slimages.macys.com/is/image/MCY/19563649 ")</f>
        <v xml:space="preserve">http://slimages.macys.com/is/image/MCY/19563649 </v>
      </c>
      <c r="O48" s="37"/>
    </row>
    <row r="49" spans="1:15" ht="24" x14ac:dyDescent="0.25">
      <c r="A49" s="19" t="s">
        <v>2990</v>
      </c>
      <c r="B49" s="17" t="s">
        <v>2989</v>
      </c>
      <c r="C49" s="20">
        <v>5</v>
      </c>
      <c r="D49" s="18">
        <v>99</v>
      </c>
      <c r="E49" s="18">
        <v>495</v>
      </c>
      <c r="F49" s="20" t="s">
        <v>2988</v>
      </c>
      <c r="G49" s="17" t="s">
        <v>91</v>
      </c>
      <c r="H49" s="19" t="s">
        <v>69</v>
      </c>
      <c r="I49" s="18">
        <v>30</v>
      </c>
      <c r="J49" s="17" t="s">
        <v>133</v>
      </c>
      <c r="K49" s="17" t="s">
        <v>1437</v>
      </c>
      <c r="L49" s="17"/>
      <c r="M49" s="17"/>
      <c r="N49" s="16" t="str">
        <f>HYPERLINK("http://slimages.macys.com/is/image/MCY/19563649 ")</f>
        <v xml:space="preserve">http://slimages.macys.com/is/image/MCY/19563649 </v>
      </c>
      <c r="O49" s="37"/>
    </row>
    <row r="50" spans="1:15" ht="48" x14ac:dyDescent="0.25">
      <c r="A50" s="19" t="s">
        <v>2987</v>
      </c>
      <c r="B50" s="17" t="s">
        <v>2986</v>
      </c>
      <c r="C50" s="20">
        <v>2</v>
      </c>
      <c r="D50" s="18">
        <v>99</v>
      </c>
      <c r="E50" s="18">
        <v>198</v>
      </c>
      <c r="F50" s="20" t="s">
        <v>2985</v>
      </c>
      <c r="G50" s="17" t="s">
        <v>263</v>
      </c>
      <c r="H50" s="19" t="s">
        <v>658</v>
      </c>
      <c r="I50" s="18">
        <v>30</v>
      </c>
      <c r="J50" s="17" t="s">
        <v>148</v>
      </c>
      <c r="K50" s="17" t="s">
        <v>772</v>
      </c>
      <c r="L50" s="17"/>
      <c r="M50" s="17"/>
      <c r="N50" s="16" t="str">
        <f>HYPERLINK("http://slimages.macys.com/is/image/MCY/16428909 ")</f>
        <v xml:space="preserve">http://slimages.macys.com/is/image/MCY/16428909 </v>
      </c>
      <c r="O50" s="37"/>
    </row>
    <row r="51" spans="1:15" ht="48" x14ac:dyDescent="0.25">
      <c r="A51" s="19" t="s">
        <v>2984</v>
      </c>
      <c r="B51" s="17" t="s">
        <v>2983</v>
      </c>
      <c r="C51" s="20">
        <v>1</v>
      </c>
      <c r="D51" s="18">
        <v>149</v>
      </c>
      <c r="E51" s="18">
        <v>149</v>
      </c>
      <c r="F51" s="20" t="s">
        <v>2982</v>
      </c>
      <c r="G51" s="17" t="s">
        <v>881</v>
      </c>
      <c r="H51" s="19" t="s">
        <v>682</v>
      </c>
      <c r="I51" s="18">
        <v>29.8</v>
      </c>
      <c r="J51" s="17" t="s">
        <v>144</v>
      </c>
      <c r="K51" s="17" t="s">
        <v>496</v>
      </c>
      <c r="L51" s="17"/>
      <c r="M51" s="17"/>
      <c r="N51" s="16" t="str">
        <f>HYPERLINK("http://slimages.macys.com/is/image/MCY/18651688 ")</f>
        <v xml:space="preserve">http://slimages.macys.com/is/image/MCY/18651688 </v>
      </c>
      <c r="O51" s="37"/>
    </row>
    <row r="52" spans="1:15" ht="60" x14ac:dyDescent="0.25">
      <c r="A52" s="19" t="s">
        <v>1456</v>
      </c>
      <c r="B52" s="17" t="s">
        <v>1455</v>
      </c>
      <c r="C52" s="20">
        <v>3</v>
      </c>
      <c r="D52" s="18">
        <v>128</v>
      </c>
      <c r="E52" s="18">
        <v>384</v>
      </c>
      <c r="F52" s="20" t="s">
        <v>1452</v>
      </c>
      <c r="G52" s="17" t="s">
        <v>58</v>
      </c>
      <c r="H52" s="19" t="s">
        <v>74</v>
      </c>
      <c r="I52" s="18">
        <v>29.333333333333336</v>
      </c>
      <c r="J52" s="17" t="s">
        <v>133</v>
      </c>
      <c r="K52" s="17" t="s">
        <v>833</v>
      </c>
      <c r="L52" s="17"/>
      <c r="M52" s="17"/>
      <c r="N52" s="16" t="str">
        <f>HYPERLINK("http://slimages.macys.com/is/image/MCY/19305261 ")</f>
        <v xml:space="preserve">http://slimages.macys.com/is/image/MCY/19305261 </v>
      </c>
      <c r="O52" s="37"/>
    </row>
    <row r="53" spans="1:15" ht="36" x14ac:dyDescent="0.25">
      <c r="A53" s="19" t="s">
        <v>2981</v>
      </c>
      <c r="B53" s="17" t="s">
        <v>2980</v>
      </c>
      <c r="C53" s="20">
        <v>1</v>
      </c>
      <c r="D53" s="18">
        <v>95</v>
      </c>
      <c r="E53" s="18">
        <v>95</v>
      </c>
      <c r="F53" s="20" t="s">
        <v>2975</v>
      </c>
      <c r="G53" s="17" t="s">
        <v>75</v>
      </c>
      <c r="H53" s="19" t="s">
        <v>197</v>
      </c>
      <c r="I53" s="18">
        <v>28.666666666666668</v>
      </c>
      <c r="J53" s="17" t="s">
        <v>133</v>
      </c>
      <c r="K53" s="17" t="s">
        <v>1437</v>
      </c>
      <c r="L53" s="17"/>
      <c r="M53" s="17"/>
      <c r="N53" s="16" t="str">
        <f>HYPERLINK("http://slimages.macys.com/is/image/MCY/19563696 ")</f>
        <v xml:space="preserve">http://slimages.macys.com/is/image/MCY/19563696 </v>
      </c>
      <c r="O53" s="37"/>
    </row>
    <row r="54" spans="1:15" ht="36" x14ac:dyDescent="0.25">
      <c r="A54" s="19" t="s">
        <v>2979</v>
      </c>
      <c r="B54" s="17" t="s">
        <v>2978</v>
      </c>
      <c r="C54" s="20">
        <v>3</v>
      </c>
      <c r="D54" s="18">
        <v>95</v>
      </c>
      <c r="E54" s="18">
        <v>285</v>
      </c>
      <c r="F54" s="20" t="s">
        <v>2975</v>
      </c>
      <c r="G54" s="17" t="s">
        <v>75</v>
      </c>
      <c r="H54" s="19" t="s">
        <v>57</v>
      </c>
      <c r="I54" s="18">
        <v>28.666666666666668</v>
      </c>
      <c r="J54" s="17" t="s">
        <v>133</v>
      </c>
      <c r="K54" s="17" t="s">
        <v>1437</v>
      </c>
      <c r="L54" s="17"/>
      <c r="M54" s="17"/>
      <c r="N54" s="16" t="str">
        <f>HYPERLINK("http://slimages.macys.com/is/image/MCY/19563696 ")</f>
        <v xml:space="preserve">http://slimages.macys.com/is/image/MCY/19563696 </v>
      </c>
      <c r="O54" s="37"/>
    </row>
    <row r="55" spans="1:15" ht="36" x14ac:dyDescent="0.25">
      <c r="A55" s="19" t="s">
        <v>2977</v>
      </c>
      <c r="B55" s="17" t="s">
        <v>2976</v>
      </c>
      <c r="C55" s="20">
        <v>5</v>
      </c>
      <c r="D55" s="18">
        <v>95</v>
      </c>
      <c r="E55" s="18">
        <v>475</v>
      </c>
      <c r="F55" s="20" t="s">
        <v>2975</v>
      </c>
      <c r="G55" s="17" t="s">
        <v>75</v>
      </c>
      <c r="H55" s="19" t="s">
        <v>62</v>
      </c>
      <c r="I55" s="18">
        <v>28.666666666666668</v>
      </c>
      <c r="J55" s="17" t="s">
        <v>133</v>
      </c>
      <c r="K55" s="17" t="s">
        <v>1437</v>
      </c>
      <c r="L55" s="17"/>
      <c r="M55" s="17"/>
      <c r="N55" s="16" t="str">
        <f>HYPERLINK("http://slimages.macys.com/is/image/MCY/19563696 ")</f>
        <v xml:space="preserve">http://slimages.macys.com/is/image/MCY/19563696 </v>
      </c>
      <c r="O55" s="37"/>
    </row>
    <row r="56" spans="1:15" ht="36" x14ac:dyDescent="0.25">
      <c r="A56" s="19" t="s">
        <v>2974</v>
      </c>
      <c r="B56" s="17" t="s">
        <v>2973</v>
      </c>
      <c r="C56" s="20">
        <v>1</v>
      </c>
      <c r="D56" s="18">
        <v>118</v>
      </c>
      <c r="E56" s="18">
        <v>118</v>
      </c>
      <c r="F56" s="20" t="s">
        <v>2196</v>
      </c>
      <c r="G56" s="17" t="s">
        <v>726</v>
      </c>
      <c r="H56" s="19" t="s">
        <v>69</v>
      </c>
      <c r="I56" s="18">
        <v>28.200000000000003</v>
      </c>
      <c r="J56" s="17" t="s">
        <v>133</v>
      </c>
      <c r="K56" s="17" t="s">
        <v>132</v>
      </c>
      <c r="L56" s="17"/>
      <c r="M56" s="17"/>
      <c r="N56" s="16" t="str">
        <f>HYPERLINK("http://slimages.macys.com/is/image/MCY/19457823 ")</f>
        <v xml:space="preserve">http://slimages.macys.com/is/image/MCY/19457823 </v>
      </c>
      <c r="O56" s="37"/>
    </row>
    <row r="57" spans="1:15" ht="48" x14ac:dyDescent="0.25">
      <c r="A57" s="19" t="s">
        <v>2972</v>
      </c>
      <c r="B57" s="17" t="s">
        <v>2971</v>
      </c>
      <c r="C57" s="20">
        <v>1</v>
      </c>
      <c r="D57" s="18">
        <v>111.75</v>
      </c>
      <c r="E57" s="18">
        <v>111.75</v>
      </c>
      <c r="F57" s="20" t="s">
        <v>2970</v>
      </c>
      <c r="G57" s="17" t="s">
        <v>562</v>
      </c>
      <c r="H57" s="19" t="s">
        <v>880</v>
      </c>
      <c r="I57" s="18">
        <v>28.113333333333333</v>
      </c>
      <c r="J57" s="17" t="s">
        <v>358</v>
      </c>
      <c r="K57" s="17" t="s">
        <v>32</v>
      </c>
      <c r="L57" s="17"/>
      <c r="M57" s="17"/>
      <c r="N57" s="16" t="str">
        <f>HYPERLINK("http://slimages.macys.com/is/image/MCY/19547783 ")</f>
        <v xml:space="preserve">http://slimages.macys.com/is/image/MCY/19547783 </v>
      </c>
      <c r="O57" s="37"/>
    </row>
    <row r="58" spans="1:15" ht="48" x14ac:dyDescent="0.25">
      <c r="A58" s="19" t="s">
        <v>2969</v>
      </c>
      <c r="B58" s="17" t="s">
        <v>2968</v>
      </c>
      <c r="C58" s="20">
        <v>1</v>
      </c>
      <c r="D58" s="18">
        <v>128</v>
      </c>
      <c r="E58" s="18">
        <v>128</v>
      </c>
      <c r="F58" s="20" t="s">
        <v>2967</v>
      </c>
      <c r="G58" s="17" t="s">
        <v>1536</v>
      </c>
      <c r="H58" s="19" t="s">
        <v>62</v>
      </c>
      <c r="I58" s="18">
        <v>27.666666666666671</v>
      </c>
      <c r="J58" s="17" t="s">
        <v>133</v>
      </c>
      <c r="K58" s="17" t="s">
        <v>584</v>
      </c>
      <c r="L58" s="17" t="s">
        <v>637</v>
      </c>
      <c r="M58" s="17" t="s">
        <v>2966</v>
      </c>
      <c r="N58" s="16" t="str">
        <f>HYPERLINK("http://images.bloomingdales.com/is/image/BLM/11123341 ")</f>
        <v xml:space="preserve">http://images.bloomingdales.com/is/image/BLM/11123341 </v>
      </c>
      <c r="O58" s="37"/>
    </row>
    <row r="59" spans="1:15" ht="48" x14ac:dyDescent="0.25">
      <c r="A59" s="19" t="s">
        <v>2186</v>
      </c>
      <c r="B59" s="17" t="s">
        <v>2185</v>
      </c>
      <c r="C59" s="20">
        <v>1</v>
      </c>
      <c r="D59" s="18">
        <v>138</v>
      </c>
      <c r="E59" s="18">
        <v>138</v>
      </c>
      <c r="F59" s="20" t="s">
        <v>2184</v>
      </c>
      <c r="G59" s="17" t="s">
        <v>28</v>
      </c>
      <c r="H59" s="19" t="s">
        <v>857</v>
      </c>
      <c r="I59" s="18">
        <v>27.599999999999998</v>
      </c>
      <c r="J59" s="17" t="s">
        <v>115</v>
      </c>
      <c r="K59" s="17" t="s">
        <v>748</v>
      </c>
      <c r="L59" s="17"/>
      <c r="M59" s="17"/>
      <c r="N59" s="16" t="str">
        <f>HYPERLINK("http://slimages.macys.com/is/image/MCY/19070598 ")</f>
        <v xml:space="preserve">http://slimages.macys.com/is/image/MCY/19070598 </v>
      </c>
      <c r="O59" s="37"/>
    </row>
    <row r="60" spans="1:15" ht="36" x14ac:dyDescent="0.25">
      <c r="A60" s="19" t="s">
        <v>1436</v>
      </c>
      <c r="B60" s="17" t="s">
        <v>1435</v>
      </c>
      <c r="C60" s="20">
        <v>3</v>
      </c>
      <c r="D60" s="18">
        <v>120</v>
      </c>
      <c r="E60" s="18">
        <v>360</v>
      </c>
      <c r="F60" s="20" t="s">
        <v>1432</v>
      </c>
      <c r="G60" s="17" t="s">
        <v>23</v>
      </c>
      <c r="H60" s="19" t="s">
        <v>62</v>
      </c>
      <c r="I60" s="18">
        <v>27.333333333333332</v>
      </c>
      <c r="J60" s="17" t="s">
        <v>133</v>
      </c>
      <c r="K60" s="17" t="s">
        <v>833</v>
      </c>
      <c r="L60" s="17"/>
      <c r="M60" s="17"/>
      <c r="N60" s="16" t="str">
        <f>HYPERLINK("http://slimages.macys.com/is/image/MCY/19305208 ")</f>
        <v xml:space="preserve">http://slimages.macys.com/is/image/MCY/19305208 </v>
      </c>
      <c r="O60" s="37"/>
    </row>
    <row r="61" spans="1:15" ht="36" x14ac:dyDescent="0.25">
      <c r="A61" s="19" t="s">
        <v>2965</v>
      </c>
      <c r="B61" s="17" t="s">
        <v>2964</v>
      </c>
      <c r="C61" s="20">
        <v>8</v>
      </c>
      <c r="D61" s="18">
        <v>120</v>
      </c>
      <c r="E61" s="18">
        <v>960</v>
      </c>
      <c r="F61" s="20" t="s">
        <v>1432</v>
      </c>
      <c r="G61" s="17" t="s">
        <v>23</v>
      </c>
      <c r="H61" s="19" t="s">
        <v>74</v>
      </c>
      <c r="I61" s="18">
        <v>27.333333333333332</v>
      </c>
      <c r="J61" s="17" t="s">
        <v>133</v>
      </c>
      <c r="K61" s="17" t="s">
        <v>833</v>
      </c>
      <c r="L61" s="17"/>
      <c r="M61" s="17"/>
      <c r="N61" s="16" t="str">
        <f>HYPERLINK("http://slimages.macys.com/is/image/MCY/19305208 ")</f>
        <v xml:space="preserve">http://slimages.macys.com/is/image/MCY/19305208 </v>
      </c>
      <c r="O61" s="37"/>
    </row>
    <row r="62" spans="1:15" ht="48" x14ac:dyDescent="0.25">
      <c r="A62" s="19" t="s">
        <v>2963</v>
      </c>
      <c r="B62" s="17" t="s">
        <v>2962</v>
      </c>
      <c r="C62" s="20">
        <v>1</v>
      </c>
      <c r="D62" s="18">
        <v>96.75</v>
      </c>
      <c r="E62" s="18">
        <v>96.75</v>
      </c>
      <c r="F62" s="20">
        <v>10758241</v>
      </c>
      <c r="G62" s="17" t="s">
        <v>140</v>
      </c>
      <c r="H62" s="19" t="s">
        <v>1155</v>
      </c>
      <c r="I62" s="18">
        <v>27.093333333333334</v>
      </c>
      <c r="J62" s="17" t="s">
        <v>33</v>
      </c>
      <c r="K62" s="17" t="s">
        <v>143</v>
      </c>
      <c r="L62" s="17"/>
      <c r="M62" s="17"/>
      <c r="N62" s="16" t="str">
        <f>HYPERLINK("http://slimages.macys.com/is/image/MCY/18302109 ")</f>
        <v xml:space="preserve">http://slimages.macys.com/is/image/MCY/18302109 </v>
      </c>
      <c r="O62" s="37"/>
    </row>
    <row r="63" spans="1:15" ht="48" x14ac:dyDescent="0.25">
      <c r="A63" s="19" t="s">
        <v>2961</v>
      </c>
      <c r="B63" s="17" t="s">
        <v>2960</v>
      </c>
      <c r="C63" s="20">
        <v>1</v>
      </c>
      <c r="D63" s="18">
        <v>104.25</v>
      </c>
      <c r="E63" s="18">
        <v>104.25</v>
      </c>
      <c r="F63" s="20" t="s">
        <v>739</v>
      </c>
      <c r="G63" s="17" t="s">
        <v>272</v>
      </c>
      <c r="H63" s="19" t="s">
        <v>1155</v>
      </c>
      <c r="I63" s="18">
        <v>26.233333333333334</v>
      </c>
      <c r="J63" s="17" t="s">
        <v>33</v>
      </c>
      <c r="K63" s="17" t="s">
        <v>32</v>
      </c>
      <c r="L63" s="17"/>
      <c r="M63" s="17"/>
      <c r="N63" s="16" t="str">
        <f>HYPERLINK("http://slimages.macys.com/is/image/MCY/19722944 ")</f>
        <v xml:space="preserve">http://slimages.macys.com/is/image/MCY/19722944 </v>
      </c>
      <c r="O63" s="37"/>
    </row>
    <row r="64" spans="1:15" ht="48" x14ac:dyDescent="0.25">
      <c r="A64" s="19" t="s">
        <v>2959</v>
      </c>
      <c r="B64" s="17" t="s">
        <v>2958</v>
      </c>
      <c r="C64" s="20">
        <v>1</v>
      </c>
      <c r="D64" s="18">
        <v>104.25</v>
      </c>
      <c r="E64" s="18">
        <v>104.25</v>
      </c>
      <c r="F64" s="20" t="s">
        <v>2957</v>
      </c>
      <c r="G64" s="17" t="s">
        <v>51</v>
      </c>
      <c r="H64" s="19"/>
      <c r="I64" s="18">
        <v>26.233333333333334</v>
      </c>
      <c r="J64" s="17" t="s">
        <v>33</v>
      </c>
      <c r="K64" s="17" t="s">
        <v>32</v>
      </c>
      <c r="L64" s="17"/>
      <c r="M64" s="17"/>
      <c r="N64" s="16" t="str">
        <f>HYPERLINK("http://slimages.macys.com/is/image/MCY/19321049 ")</f>
        <v xml:space="preserve">http://slimages.macys.com/is/image/MCY/19321049 </v>
      </c>
      <c r="O64" s="37"/>
    </row>
    <row r="65" spans="1:15" ht="48" x14ac:dyDescent="0.25">
      <c r="A65" s="19" t="s">
        <v>2956</v>
      </c>
      <c r="B65" s="17" t="s">
        <v>2955</v>
      </c>
      <c r="C65" s="20">
        <v>1</v>
      </c>
      <c r="D65" s="18">
        <v>104.25</v>
      </c>
      <c r="E65" s="18">
        <v>104.25</v>
      </c>
      <c r="F65" s="20" t="s">
        <v>2954</v>
      </c>
      <c r="G65" s="17" t="s">
        <v>51</v>
      </c>
      <c r="H65" s="19" t="s">
        <v>880</v>
      </c>
      <c r="I65" s="18">
        <v>26.06</v>
      </c>
      <c r="J65" s="17" t="s">
        <v>358</v>
      </c>
      <c r="K65" s="17" t="s">
        <v>32</v>
      </c>
      <c r="L65" s="17" t="s">
        <v>389</v>
      </c>
      <c r="M65" s="17" t="s">
        <v>2953</v>
      </c>
      <c r="N65" s="16" t="str">
        <f>HYPERLINK("http://slimages.macys.com/is/image/MCY/3604776 ")</f>
        <v xml:space="preserve">http://slimages.macys.com/is/image/MCY/3604776 </v>
      </c>
      <c r="O65" s="37"/>
    </row>
    <row r="66" spans="1:15" ht="36" x14ac:dyDescent="0.25">
      <c r="A66" s="19" t="s">
        <v>2952</v>
      </c>
      <c r="B66" s="17" t="s">
        <v>2951</v>
      </c>
      <c r="C66" s="20">
        <v>1</v>
      </c>
      <c r="D66" s="18">
        <v>118</v>
      </c>
      <c r="E66" s="18">
        <v>118</v>
      </c>
      <c r="F66" s="20" t="s">
        <v>2160</v>
      </c>
      <c r="G66" s="17" t="s">
        <v>23</v>
      </c>
      <c r="H66" s="19" t="s">
        <v>96</v>
      </c>
      <c r="I66" s="18">
        <v>26.040000000000003</v>
      </c>
      <c r="J66" s="17" t="s">
        <v>49</v>
      </c>
      <c r="K66" s="17" t="s">
        <v>48</v>
      </c>
      <c r="L66" s="17"/>
      <c r="M66" s="17"/>
      <c r="N66" s="16" t="str">
        <f>HYPERLINK("http://slimages.macys.com/is/image/MCY/19349047 ")</f>
        <v xml:space="preserve">http://slimages.macys.com/is/image/MCY/19349047 </v>
      </c>
      <c r="O66" s="37"/>
    </row>
    <row r="67" spans="1:15" ht="48" x14ac:dyDescent="0.25">
      <c r="A67" s="19" t="s">
        <v>2950</v>
      </c>
      <c r="B67" s="17" t="s">
        <v>2949</v>
      </c>
      <c r="C67" s="20">
        <v>1</v>
      </c>
      <c r="D67" s="18">
        <v>119</v>
      </c>
      <c r="E67" s="18">
        <v>119</v>
      </c>
      <c r="F67" s="20">
        <v>10762456</v>
      </c>
      <c r="G67" s="17" t="s">
        <v>23</v>
      </c>
      <c r="H67" s="19" t="s">
        <v>773</v>
      </c>
      <c r="I67" s="18">
        <v>24.593333333333334</v>
      </c>
      <c r="J67" s="17" t="s">
        <v>144</v>
      </c>
      <c r="K67" s="17" t="s">
        <v>143</v>
      </c>
      <c r="L67" s="17"/>
      <c r="M67" s="17"/>
      <c r="N67" s="16" t="str">
        <f>HYPERLINK("http://slimages.macys.com/is/image/MCY/18960116 ")</f>
        <v xml:space="preserve">http://slimages.macys.com/is/image/MCY/18960116 </v>
      </c>
      <c r="O67" s="37"/>
    </row>
    <row r="68" spans="1:15" ht="60" x14ac:dyDescent="0.25">
      <c r="A68" s="19" t="s">
        <v>2948</v>
      </c>
      <c r="B68" s="17" t="s">
        <v>2947</v>
      </c>
      <c r="C68" s="20">
        <v>1</v>
      </c>
      <c r="D68" s="18">
        <v>119.5</v>
      </c>
      <c r="E68" s="18">
        <v>119.5</v>
      </c>
      <c r="F68" s="20" t="s">
        <v>2946</v>
      </c>
      <c r="G68" s="17" t="s">
        <v>51</v>
      </c>
      <c r="H68" s="19" t="s">
        <v>74</v>
      </c>
      <c r="I68" s="18">
        <v>24.073333333333334</v>
      </c>
      <c r="J68" s="17" t="s">
        <v>106</v>
      </c>
      <c r="K68" s="17" t="s">
        <v>105</v>
      </c>
      <c r="L68" s="17"/>
      <c r="M68" s="17"/>
      <c r="N68" s="16" t="str">
        <f>HYPERLINK("http://slimages.macys.com/is/image/MCY/19026978 ")</f>
        <v xml:space="preserve">http://slimages.macys.com/is/image/MCY/19026978 </v>
      </c>
      <c r="O68" s="37"/>
    </row>
    <row r="69" spans="1:15" ht="48" x14ac:dyDescent="0.25">
      <c r="A69" s="19" t="s">
        <v>2945</v>
      </c>
      <c r="B69" s="17" t="s">
        <v>2944</v>
      </c>
      <c r="C69" s="20">
        <v>1</v>
      </c>
      <c r="D69" s="18">
        <v>108</v>
      </c>
      <c r="E69" s="18">
        <v>108</v>
      </c>
      <c r="F69" s="20" t="s">
        <v>2943</v>
      </c>
      <c r="G69" s="17" t="s">
        <v>390</v>
      </c>
      <c r="H69" s="19" t="s">
        <v>17</v>
      </c>
      <c r="I69" s="18">
        <v>23.833333333333336</v>
      </c>
      <c r="J69" s="17" t="s">
        <v>49</v>
      </c>
      <c r="K69" s="17" t="s">
        <v>48</v>
      </c>
      <c r="L69" s="17"/>
      <c r="M69" s="17"/>
      <c r="N69" s="16" t="str">
        <f>HYPERLINK("http://slimages.macys.com/is/image/MCY/19192622 ")</f>
        <v xml:space="preserve">http://slimages.macys.com/is/image/MCY/19192622 </v>
      </c>
      <c r="O69" s="37"/>
    </row>
    <row r="70" spans="1:15" ht="36" x14ac:dyDescent="0.25">
      <c r="A70" s="19" t="s">
        <v>2942</v>
      </c>
      <c r="B70" s="17" t="s">
        <v>2941</v>
      </c>
      <c r="C70" s="20">
        <v>1</v>
      </c>
      <c r="D70" s="18">
        <v>108</v>
      </c>
      <c r="E70" s="18">
        <v>108</v>
      </c>
      <c r="F70" s="20" t="s">
        <v>2937</v>
      </c>
      <c r="G70" s="17" t="s">
        <v>2284</v>
      </c>
      <c r="H70" s="19" t="s">
        <v>2940</v>
      </c>
      <c r="I70" s="18">
        <v>23.833333333333336</v>
      </c>
      <c r="J70" s="17" t="s">
        <v>49</v>
      </c>
      <c r="K70" s="17" t="s">
        <v>48</v>
      </c>
      <c r="L70" s="17"/>
      <c r="M70" s="17"/>
      <c r="N70" s="16" t="str">
        <f>HYPERLINK("http://slimages.macys.com/is/image/MCY/19410930 ")</f>
        <v xml:space="preserve">http://slimages.macys.com/is/image/MCY/19410930 </v>
      </c>
      <c r="O70" s="37"/>
    </row>
    <row r="71" spans="1:15" ht="36" x14ac:dyDescent="0.25">
      <c r="A71" s="19" t="s">
        <v>2939</v>
      </c>
      <c r="B71" s="17" t="s">
        <v>2938</v>
      </c>
      <c r="C71" s="20">
        <v>1</v>
      </c>
      <c r="D71" s="18">
        <v>108</v>
      </c>
      <c r="E71" s="18">
        <v>108</v>
      </c>
      <c r="F71" s="20" t="s">
        <v>2937</v>
      </c>
      <c r="G71" s="17" t="s">
        <v>2284</v>
      </c>
      <c r="H71" s="19" t="s">
        <v>2936</v>
      </c>
      <c r="I71" s="18">
        <v>23.833333333333336</v>
      </c>
      <c r="J71" s="17" t="s">
        <v>49</v>
      </c>
      <c r="K71" s="17" t="s">
        <v>48</v>
      </c>
      <c r="L71" s="17"/>
      <c r="M71" s="17"/>
      <c r="N71" s="16" t="str">
        <f>HYPERLINK("http://slimages.macys.com/is/image/MCY/19410930 ")</f>
        <v xml:space="preserve">http://slimages.macys.com/is/image/MCY/19410930 </v>
      </c>
      <c r="O71" s="37"/>
    </row>
    <row r="72" spans="1:15" ht="48" x14ac:dyDescent="0.25">
      <c r="A72" s="19" t="s">
        <v>2935</v>
      </c>
      <c r="B72" s="17" t="s">
        <v>2934</v>
      </c>
      <c r="C72" s="20">
        <v>1</v>
      </c>
      <c r="D72" s="18">
        <v>108</v>
      </c>
      <c r="E72" s="18">
        <v>108</v>
      </c>
      <c r="F72" s="20" t="s">
        <v>2138</v>
      </c>
      <c r="G72" s="17" t="s">
        <v>390</v>
      </c>
      <c r="H72" s="19" t="s">
        <v>694</v>
      </c>
      <c r="I72" s="18">
        <v>23.833333333333336</v>
      </c>
      <c r="J72" s="17" t="s">
        <v>49</v>
      </c>
      <c r="K72" s="17" t="s">
        <v>48</v>
      </c>
      <c r="L72" s="17"/>
      <c r="M72" s="17"/>
      <c r="N72" s="16" t="str">
        <f>HYPERLINK("http://slimages.macys.com/is/image/MCY/19348863 ")</f>
        <v xml:space="preserve">http://slimages.macys.com/is/image/MCY/19348863 </v>
      </c>
      <c r="O72" s="37"/>
    </row>
    <row r="73" spans="1:15" ht="60" x14ac:dyDescent="0.25">
      <c r="A73" s="19" t="s">
        <v>719</v>
      </c>
      <c r="B73" s="17" t="s">
        <v>718</v>
      </c>
      <c r="C73" s="20">
        <v>1</v>
      </c>
      <c r="D73" s="18">
        <v>108</v>
      </c>
      <c r="E73" s="18">
        <v>108</v>
      </c>
      <c r="F73" s="20" t="s">
        <v>717</v>
      </c>
      <c r="G73" s="17" t="s">
        <v>716</v>
      </c>
      <c r="H73" s="19" t="s">
        <v>22</v>
      </c>
      <c r="I73" s="18">
        <v>23.833333333333336</v>
      </c>
      <c r="J73" s="17" t="s">
        <v>49</v>
      </c>
      <c r="K73" s="17" t="s">
        <v>48</v>
      </c>
      <c r="L73" s="17"/>
      <c r="M73" s="17"/>
      <c r="N73" s="16" t="str">
        <f>HYPERLINK("http://slimages.macys.com/is/image/MCY/18990338 ")</f>
        <v xml:space="preserve">http://slimages.macys.com/is/image/MCY/18990338 </v>
      </c>
      <c r="O73" s="37"/>
    </row>
    <row r="74" spans="1:15" ht="48" x14ac:dyDescent="0.25">
      <c r="A74" s="19" t="s">
        <v>2933</v>
      </c>
      <c r="B74" s="17" t="s">
        <v>2932</v>
      </c>
      <c r="C74" s="20">
        <v>1</v>
      </c>
      <c r="D74" s="18">
        <v>108</v>
      </c>
      <c r="E74" s="18">
        <v>108</v>
      </c>
      <c r="F74" s="20" t="s">
        <v>2931</v>
      </c>
      <c r="G74" s="17" t="s">
        <v>23</v>
      </c>
      <c r="H74" s="19" t="s">
        <v>17</v>
      </c>
      <c r="I74" s="18">
        <v>23.833333333333336</v>
      </c>
      <c r="J74" s="17" t="s">
        <v>49</v>
      </c>
      <c r="K74" s="17" t="s">
        <v>48</v>
      </c>
      <c r="L74" s="17"/>
      <c r="M74" s="17"/>
      <c r="N74" s="16" t="str">
        <f>HYPERLINK("http://slimages.macys.com/is/image/MCY/18749397 ")</f>
        <v xml:space="preserve">http://slimages.macys.com/is/image/MCY/18749397 </v>
      </c>
      <c r="O74" s="37"/>
    </row>
    <row r="75" spans="1:15" ht="48" x14ac:dyDescent="0.25">
      <c r="A75" s="19" t="s">
        <v>715</v>
      </c>
      <c r="B75" s="17" t="s">
        <v>714</v>
      </c>
      <c r="C75" s="20">
        <v>1</v>
      </c>
      <c r="D75" s="18">
        <v>108</v>
      </c>
      <c r="E75" s="18">
        <v>108</v>
      </c>
      <c r="F75" s="20" t="s">
        <v>713</v>
      </c>
      <c r="G75" s="17" t="s">
        <v>75</v>
      </c>
      <c r="H75" s="19" t="s">
        <v>62</v>
      </c>
      <c r="I75" s="18">
        <v>23.833333333333336</v>
      </c>
      <c r="J75" s="17" t="s">
        <v>49</v>
      </c>
      <c r="K75" s="17" t="s">
        <v>48</v>
      </c>
      <c r="L75" s="17"/>
      <c r="M75" s="17"/>
      <c r="N75" s="16" t="str">
        <f>HYPERLINK("http://slimages.macys.com/is/image/MCY/19352365 ")</f>
        <v xml:space="preserve">http://slimages.macys.com/is/image/MCY/19352365 </v>
      </c>
      <c r="O75" s="37"/>
    </row>
    <row r="76" spans="1:15" ht="48" x14ac:dyDescent="0.25">
      <c r="A76" s="19" t="s">
        <v>2930</v>
      </c>
      <c r="B76" s="17" t="s">
        <v>2929</v>
      </c>
      <c r="C76" s="20">
        <v>1</v>
      </c>
      <c r="D76" s="18">
        <v>108</v>
      </c>
      <c r="E76" s="18">
        <v>108</v>
      </c>
      <c r="F76" s="20" t="s">
        <v>2928</v>
      </c>
      <c r="G76" s="17" t="s">
        <v>390</v>
      </c>
      <c r="H76" s="19" t="s">
        <v>419</v>
      </c>
      <c r="I76" s="18">
        <v>23.833333333333336</v>
      </c>
      <c r="J76" s="17" t="s">
        <v>49</v>
      </c>
      <c r="K76" s="17" t="s">
        <v>48</v>
      </c>
      <c r="L76" s="17"/>
      <c r="M76" s="17"/>
      <c r="N76" s="16" t="str">
        <f>HYPERLINK("http://slimages.macys.com/is/image/MCY/19634704 ")</f>
        <v xml:space="preserve">http://slimages.macys.com/is/image/MCY/19634704 </v>
      </c>
      <c r="O76" s="37"/>
    </row>
    <row r="77" spans="1:15" ht="36" x14ac:dyDescent="0.25">
      <c r="A77" s="19" t="s">
        <v>2927</v>
      </c>
      <c r="B77" s="17" t="s">
        <v>2926</v>
      </c>
      <c r="C77" s="20">
        <v>1</v>
      </c>
      <c r="D77" s="18">
        <v>119</v>
      </c>
      <c r="E77" s="18">
        <v>119</v>
      </c>
      <c r="F77" s="20" t="s">
        <v>2925</v>
      </c>
      <c r="G77" s="17" t="s">
        <v>58</v>
      </c>
      <c r="H77" s="19" t="s">
        <v>116</v>
      </c>
      <c r="I77" s="18">
        <v>23.8</v>
      </c>
      <c r="J77" s="17" t="s">
        <v>678</v>
      </c>
      <c r="K77" s="17" t="s">
        <v>404</v>
      </c>
      <c r="L77" s="17"/>
      <c r="M77" s="17"/>
      <c r="N77" s="16" t="str">
        <f>HYPERLINK("http://slimages.macys.com/is/image/MCY/19101028 ")</f>
        <v xml:space="preserve">http://slimages.macys.com/is/image/MCY/19101028 </v>
      </c>
      <c r="O77" s="37"/>
    </row>
    <row r="78" spans="1:15" ht="48" x14ac:dyDescent="0.25">
      <c r="A78" s="19" t="s">
        <v>2924</v>
      </c>
      <c r="B78" s="17" t="s">
        <v>2923</v>
      </c>
      <c r="C78" s="20">
        <v>1</v>
      </c>
      <c r="D78" s="18">
        <v>98</v>
      </c>
      <c r="E78" s="18">
        <v>98</v>
      </c>
      <c r="F78" s="20" t="s">
        <v>691</v>
      </c>
      <c r="G78" s="17" t="s">
        <v>237</v>
      </c>
      <c r="H78" s="19"/>
      <c r="I78" s="18">
        <v>21.626666666666669</v>
      </c>
      <c r="J78" s="17" t="s">
        <v>49</v>
      </c>
      <c r="K78" s="17" t="s">
        <v>48</v>
      </c>
      <c r="L78" s="17"/>
      <c r="M78" s="17"/>
      <c r="N78" s="16" t="str">
        <f>HYPERLINK("http://slimages.macys.com/is/image/MCY/19192127 ")</f>
        <v xml:space="preserve">http://slimages.macys.com/is/image/MCY/19192127 </v>
      </c>
      <c r="O78" s="37"/>
    </row>
    <row r="79" spans="1:15" ht="48" x14ac:dyDescent="0.25">
      <c r="A79" s="19" t="s">
        <v>2922</v>
      </c>
      <c r="B79" s="17" t="s">
        <v>2921</v>
      </c>
      <c r="C79" s="20">
        <v>1</v>
      </c>
      <c r="D79" s="18">
        <v>98</v>
      </c>
      <c r="E79" s="18">
        <v>98</v>
      </c>
      <c r="F79" s="20" t="s">
        <v>691</v>
      </c>
      <c r="G79" s="17" t="s">
        <v>149</v>
      </c>
      <c r="H79" s="19"/>
      <c r="I79" s="18">
        <v>21.626666666666669</v>
      </c>
      <c r="J79" s="17" t="s">
        <v>49</v>
      </c>
      <c r="K79" s="17" t="s">
        <v>48</v>
      </c>
      <c r="L79" s="17"/>
      <c r="M79" s="17"/>
      <c r="N79" s="16" t="str">
        <f>HYPERLINK("http://slimages.macys.com/is/image/MCY/19379962 ")</f>
        <v xml:space="preserve">http://slimages.macys.com/is/image/MCY/19379962 </v>
      </c>
      <c r="O79" s="37"/>
    </row>
    <row r="80" spans="1:15" ht="48" x14ac:dyDescent="0.25">
      <c r="A80" s="19" t="s">
        <v>2920</v>
      </c>
      <c r="B80" s="17" t="s">
        <v>2919</v>
      </c>
      <c r="C80" s="20">
        <v>1</v>
      </c>
      <c r="D80" s="18">
        <v>98</v>
      </c>
      <c r="E80" s="18">
        <v>98</v>
      </c>
      <c r="F80" s="20" t="s">
        <v>2918</v>
      </c>
      <c r="G80" s="17" t="s">
        <v>23</v>
      </c>
      <c r="H80" s="19"/>
      <c r="I80" s="18">
        <v>21.626666666666669</v>
      </c>
      <c r="J80" s="17" t="s">
        <v>49</v>
      </c>
      <c r="K80" s="17" t="s">
        <v>48</v>
      </c>
      <c r="L80" s="17"/>
      <c r="M80" s="17"/>
      <c r="N80" s="16" t="str">
        <f>HYPERLINK("http://slimages.macys.com/is/image/MCY/18560029 ")</f>
        <v xml:space="preserve">http://slimages.macys.com/is/image/MCY/18560029 </v>
      </c>
      <c r="O80" s="37"/>
    </row>
    <row r="81" spans="1:15" ht="48" x14ac:dyDescent="0.25">
      <c r="A81" s="19" t="s">
        <v>2917</v>
      </c>
      <c r="B81" s="17" t="s">
        <v>2916</v>
      </c>
      <c r="C81" s="20">
        <v>1</v>
      </c>
      <c r="D81" s="18">
        <v>98</v>
      </c>
      <c r="E81" s="18">
        <v>98</v>
      </c>
      <c r="F81" s="20" t="s">
        <v>2915</v>
      </c>
      <c r="G81" s="17" t="s">
        <v>345</v>
      </c>
      <c r="H81" s="19" t="s">
        <v>22</v>
      </c>
      <c r="I81" s="18">
        <v>21.626666666666669</v>
      </c>
      <c r="J81" s="17" t="s">
        <v>49</v>
      </c>
      <c r="K81" s="17" t="s">
        <v>48</v>
      </c>
      <c r="L81" s="17"/>
      <c r="M81" s="17"/>
      <c r="N81" s="16" t="str">
        <f>HYPERLINK("http://slimages.macys.com/is/image/MCY/19192300 ")</f>
        <v xml:space="preserve">http://slimages.macys.com/is/image/MCY/19192300 </v>
      </c>
      <c r="O81" s="37"/>
    </row>
    <row r="82" spans="1:15" ht="48" x14ac:dyDescent="0.25">
      <c r="A82" s="19" t="s">
        <v>2914</v>
      </c>
      <c r="B82" s="17" t="s">
        <v>2913</v>
      </c>
      <c r="C82" s="20">
        <v>1</v>
      </c>
      <c r="D82" s="18">
        <v>98</v>
      </c>
      <c r="E82" s="18">
        <v>98</v>
      </c>
      <c r="F82" s="20" t="s">
        <v>2112</v>
      </c>
      <c r="G82" s="17" t="s">
        <v>1536</v>
      </c>
      <c r="H82" s="19" t="s">
        <v>101</v>
      </c>
      <c r="I82" s="18">
        <v>21.626666666666669</v>
      </c>
      <c r="J82" s="17" t="s">
        <v>49</v>
      </c>
      <c r="K82" s="17" t="s">
        <v>48</v>
      </c>
      <c r="L82" s="17"/>
      <c r="M82" s="17"/>
      <c r="N82" s="16" t="str">
        <f>HYPERLINK("http://slimages.macys.com/is/image/MCY/19350222 ")</f>
        <v xml:space="preserve">http://slimages.macys.com/is/image/MCY/19350222 </v>
      </c>
      <c r="O82" s="37"/>
    </row>
    <row r="83" spans="1:15" ht="36" x14ac:dyDescent="0.25">
      <c r="A83" s="19" t="s">
        <v>2912</v>
      </c>
      <c r="B83" s="17" t="s">
        <v>2911</v>
      </c>
      <c r="C83" s="20">
        <v>1</v>
      </c>
      <c r="D83" s="18">
        <v>98</v>
      </c>
      <c r="E83" s="18">
        <v>98</v>
      </c>
      <c r="F83" s="20" t="s">
        <v>2910</v>
      </c>
      <c r="G83" s="17" t="s">
        <v>51</v>
      </c>
      <c r="H83" s="19" t="s">
        <v>1862</v>
      </c>
      <c r="I83" s="18">
        <v>21.626666666666669</v>
      </c>
      <c r="J83" s="17" t="s">
        <v>49</v>
      </c>
      <c r="K83" s="17" t="s">
        <v>48</v>
      </c>
      <c r="L83" s="17"/>
      <c r="M83" s="17"/>
      <c r="N83" s="16" t="str">
        <f>HYPERLINK("http://slimages.macys.com/is/image/MCY/19634676 ")</f>
        <v xml:space="preserve">http://slimages.macys.com/is/image/MCY/19634676 </v>
      </c>
      <c r="O83" s="37"/>
    </row>
    <row r="84" spans="1:15" ht="48" x14ac:dyDescent="0.25">
      <c r="A84" s="19" t="s">
        <v>2909</v>
      </c>
      <c r="B84" s="17" t="s">
        <v>2908</v>
      </c>
      <c r="C84" s="20">
        <v>1</v>
      </c>
      <c r="D84" s="18">
        <v>98</v>
      </c>
      <c r="E84" s="18">
        <v>98</v>
      </c>
      <c r="F84" s="20" t="s">
        <v>2112</v>
      </c>
      <c r="G84" s="17" t="s">
        <v>1536</v>
      </c>
      <c r="H84" s="19" t="s">
        <v>62</v>
      </c>
      <c r="I84" s="18">
        <v>21.626666666666669</v>
      </c>
      <c r="J84" s="17" t="s">
        <v>49</v>
      </c>
      <c r="K84" s="17" t="s">
        <v>48</v>
      </c>
      <c r="L84" s="17"/>
      <c r="M84" s="17"/>
      <c r="N84" s="16" t="str">
        <f>HYPERLINK("http://slimages.macys.com/is/image/MCY/19350222 ")</f>
        <v xml:space="preserve">http://slimages.macys.com/is/image/MCY/19350222 </v>
      </c>
      <c r="O84" s="37"/>
    </row>
    <row r="85" spans="1:15" ht="48" x14ac:dyDescent="0.25">
      <c r="A85" s="19" t="s">
        <v>2907</v>
      </c>
      <c r="B85" s="17" t="s">
        <v>2906</v>
      </c>
      <c r="C85" s="20">
        <v>1</v>
      </c>
      <c r="D85" s="18">
        <v>98</v>
      </c>
      <c r="E85" s="18">
        <v>98</v>
      </c>
      <c r="F85" s="20" t="s">
        <v>665</v>
      </c>
      <c r="G85" s="17" t="s">
        <v>58</v>
      </c>
      <c r="H85" s="19" t="s">
        <v>17</v>
      </c>
      <c r="I85" s="18">
        <v>21.626666666666669</v>
      </c>
      <c r="J85" s="17" t="s">
        <v>49</v>
      </c>
      <c r="K85" s="17" t="s">
        <v>48</v>
      </c>
      <c r="L85" s="17"/>
      <c r="M85" s="17"/>
      <c r="N85" s="16" t="str">
        <f>HYPERLINK("http://slimages.macys.com/is/image/MCY/18257377 ")</f>
        <v xml:space="preserve">http://slimages.macys.com/is/image/MCY/18257377 </v>
      </c>
      <c r="O85" s="37"/>
    </row>
    <row r="86" spans="1:15" ht="48" x14ac:dyDescent="0.25">
      <c r="A86" s="19" t="s">
        <v>2101</v>
      </c>
      <c r="B86" s="17" t="s">
        <v>2100</v>
      </c>
      <c r="C86" s="20">
        <v>2</v>
      </c>
      <c r="D86" s="18">
        <v>98</v>
      </c>
      <c r="E86" s="18">
        <v>196</v>
      </c>
      <c r="F86" s="20" t="s">
        <v>665</v>
      </c>
      <c r="G86" s="17" t="s">
        <v>734</v>
      </c>
      <c r="H86" s="19" t="s">
        <v>50</v>
      </c>
      <c r="I86" s="18">
        <v>21.626666666666669</v>
      </c>
      <c r="J86" s="17" t="s">
        <v>49</v>
      </c>
      <c r="K86" s="17" t="s">
        <v>48</v>
      </c>
      <c r="L86" s="17"/>
      <c r="M86" s="17"/>
      <c r="N86" s="16" t="str">
        <f>HYPERLINK("http://slimages.macys.com/is/image/MCY/16691834 ")</f>
        <v xml:space="preserve">http://slimages.macys.com/is/image/MCY/16691834 </v>
      </c>
      <c r="O86" s="37"/>
    </row>
    <row r="87" spans="1:15" ht="60" x14ac:dyDescent="0.25">
      <c r="A87" s="19" t="s">
        <v>2905</v>
      </c>
      <c r="B87" s="17" t="s">
        <v>2904</v>
      </c>
      <c r="C87" s="20">
        <v>1</v>
      </c>
      <c r="D87" s="18">
        <v>98</v>
      </c>
      <c r="E87" s="18">
        <v>98</v>
      </c>
      <c r="F87" s="20" t="s">
        <v>2903</v>
      </c>
      <c r="G87" s="17" t="s">
        <v>345</v>
      </c>
      <c r="H87" s="19" t="s">
        <v>50</v>
      </c>
      <c r="I87" s="18">
        <v>21.626666666666669</v>
      </c>
      <c r="J87" s="17" t="s">
        <v>49</v>
      </c>
      <c r="K87" s="17" t="s">
        <v>48</v>
      </c>
      <c r="L87" s="17"/>
      <c r="M87" s="17"/>
      <c r="N87" s="16" t="str">
        <f>HYPERLINK("http://slimages.macys.com/is/image/MCY/19350207 ")</f>
        <v xml:space="preserve">http://slimages.macys.com/is/image/MCY/19350207 </v>
      </c>
      <c r="O87" s="37"/>
    </row>
    <row r="88" spans="1:15" ht="48" x14ac:dyDescent="0.25">
      <c r="A88" s="19" t="s">
        <v>2902</v>
      </c>
      <c r="B88" s="17" t="s">
        <v>2901</v>
      </c>
      <c r="C88" s="20">
        <v>1</v>
      </c>
      <c r="D88" s="18">
        <v>129</v>
      </c>
      <c r="E88" s="18">
        <v>129</v>
      </c>
      <c r="F88" s="20">
        <v>10769668</v>
      </c>
      <c r="G88" s="17" t="s">
        <v>575</v>
      </c>
      <c r="H88" s="19" t="s">
        <v>27</v>
      </c>
      <c r="I88" s="18">
        <v>21.5</v>
      </c>
      <c r="J88" s="17" t="s">
        <v>120</v>
      </c>
      <c r="K88" s="17" t="s">
        <v>119</v>
      </c>
      <c r="L88" s="17"/>
      <c r="M88" s="17"/>
      <c r="N88" s="16" t="str">
        <f>HYPERLINK("http://slimages.macys.com/is/image/MCY/19266030 ")</f>
        <v xml:space="preserve">http://slimages.macys.com/is/image/MCY/19266030 </v>
      </c>
      <c r="O88" s="37"/>
    </row>
    <row r="89" spans="1:15" ht="48" x14ac:dyDescent="0.25">
      <c r="A89" s="19" t="s">
        <v>2900</v>
      </c>
      <c r="B89" s="17" t="s">
        <v>2899</v>
      </c>
      <c r="C89" s="20">
        <v>3</v>
      </c>
      <c r="D89" s="18">
        <v>70</v>
      </c>
      <c r="E89" s="18">
        <v>210</v>
      </c>
      <c r="F89" s="20" t="s">
        <v>2894</v>
      </c>
      <c r="G89" s="17" t="s">
        <v>164</v>
      </c>
      <c r="H89" s="19" t="s">
        <v>57</v>
      </c>
      <c r="I89" s="18">
        <v>21.333333333333336</v>
      </c>
      <c r="J89" s="17" t="s">
        <v>133</v>
      </c>
      <c r="K89" s="17" t="s">
        <v>1437</v>
      </c>
      <c r="L89" s="17"/>
      <c r="M89" s="17"/>
      <c r="N89" s="16" t="str">
        <f>HYPERLINK("http://slimages.macys.com/is/image/MCY/19563668 ")</f>
        <v xml:space="preserve">http://slimages.macys.com/is/image/MCY/19563668 </v>
      </c>
      <c r="O89" s="37"/>
    </row>
    <row r="90" spans="1:15" ht="48" x14ac:dyDescent="0.25">
      <c r="A90" s="19" t="s">
        <v>2898</v>
      </c>
      <c r="B90" s="17" t="s">
        <v>2897</v>
      </c>
      <c r="C90" s="20">
        <v>2</v>
      </c>
      <c r="D90" s="18">
        <v>70</v>
      </c>
      <c r="E90" s="18">
        <v>140</v>
      </c>
      <c r="F90" s="20" t="s">
        <v>2894</v>
      </c>
      <c r="G90" s="17" t="s">
        <v>164</v>
      </c>
      <c r="H90" s="19" t="s">
        <v>197</v>
      </c>
      <c r="I90" s="18">
        <v>21.333333333333336</v>
      </c>
      <c r="J90" s="17" t="s">
        <v>133</v>
      </c>
      <c r="K90" s="17" t="s">
        <v>1437</v>
      </c>
      <c r="L90" s="17"/>
      <c r="M90" s="17"/>
      <c r="N90" s="16" t="str">
        <f>HYPERLINK("http://slimages.macys.com/is/image/MCY/19563668 ")</f>
        <v xml:space="preserve">http://slimages.macys.com/is/image/MCY/19563668 </v>
      </c>
      <c r="O90" s="37"/>
    </row>
    <row r="91" spans="1:15" ht="48" x14ac:dyDescent="0.25">
      <c r="A91" s="19" t="s">
        <v>2896</v>
      </c>
      <c r="B91" s="17" t="s">
        <v>2895</v>
      </c>
      <c r="C91" s="20">
        <v>2</v>
      </c>
      <c r="D91" s="18">
        <v>70</v>
      </c>
      <c r="E91" s="18">
        <v>140</v>
      </c>
      <c r="F91" s="20" t="s">
        <v>2894</v>
      </c>
      <c r="G91" s="17" t="s">
        <v>164</v>
      </c>
      <c r="H91" s="19" t="s">
        <v>62</v>
      </c>
      <c r="I91" s="18">
        <v>21.333333333333336</v>
      </c>
      <c r="J91" s="17" t="s">
        <v>133</v>
      </c>
      <c r="K91" s="17" t="s">
        <v>1437</v>
      </c>
      <c r="L91" s="17"/>
      <c r="M91" s="17"/>
      <c r="N91" s="16" t="str">
        <f>HYPERLINK("http://slimages.macys.com/is/image/MCY/19563668 ")</f>
        <v xml:space="preserve">http://slimages.macys.com/is/image/MCY/19563668 </v>
      </c>
      <c r="O91" s="37"/>
    </row>
    <row r="92" spans="1:15" ht="48" x14ac:dyDescent="0.25">
      <c r="A92" s="19" t="s">
        <v>1344</v>
      </c>
      <c r="B92" s="17" t="s">
        <v>1343</v>
      </c>
      <c r="C92" s="20">
        <v>8</v>
      </c>
      <c r="D92" s="18">
        <v>89</v>
      </c>
      <c r="E92" s="18">
        <v>712</v>
      </c>
      <c r="F92" s="20" t="s">
        <v>1340</v>
      </c>
      <c r="G92" s="17" t="s">
        <v>345</v>
      </c>
      <c r="H92" s="19" t="s">
        <v>69</v>
      </c>
      <c r="I92" s="18">
        <v>20.666666666666668</v>
      </c>
      <c r="J92" s="17" t="s">
        <v>133</v>
      </c>
      <c r="K92" s="17" t="s">
        <v>833</v>
      </c>
      <c r="L92" s="17"/>
      <c r="M92" s="17"/>
      <c r="N92" s="16" t="str">
        <f>HYPERLINK("http://slimages.macys.com/is/image/MCY/19304648 ")</f>
        <v xml:space="preserve">http://slimages.macys.com/is/image/MCY/19304648 </v>
      </c>
      <c r="O92" s="37"/>
    </row>
    <row r="93" spans="1:15" ht="48" x14ac:dyDescent="0.25">
      <c r="A93" s="19" t="s">
        <v>1352</v>
      </c>
      <c r="B93" s="17" t="s">
        <v>1351</v>
      </c>
      <c r="C93" s="20">
        <v>4</v>
      </c>
      <c r="D93" s="18">
        <v>89</v>
      </c>
      <c r="E93" s="18">
        <v>356</v>
      </c>
      <c r="F93" s="20" t="s">
        <v>1340</v>
      </c>
      <c r="G93" s="17" t="s">
        <v>345</v>
      </c>
      <c r="H93" s="19" t="s">
        <v>62</v>
      </c>
      <c r="I93" s="18">
        <v>20.666666666666668</v>
      </c>
      <c r="J93" s="17" t="s">
        <v>133</v>
      </c>
      <c r="K93" s="17" t="s">
        <v>833</v>
      </c>
      <c r="L93" s="17"/>
      <c r="M93" s="17"/>
      <c r="N93" s="16" t="str">
        <f>HYPERLINK("http://slimages.macys.com/is/image/MCY/19304648 ")</f>
        <v xml:space="preserve">http://slimages.macys.com/is/image/MCY/19304648 </v>
      </c>
      <c r="O93" s="37"/>
    </row>
    <row r="94" spans="1:15" ht="36" x14ac:dyDescent="0.25">
      <c r="A94" s="19" t="s">
        <v>1334</v>
      </c>
      <c r="B94" s="17" t="s">
        <v>1333</v>
      </c>
      <c r="C94" s="20">
        <v>1</v>
      </c>
      <c r="D94" s="18">
        <v>88</v>
      </c>
      <c r="E94" s="18">
        <v>88</v>
      </c>
      <c r="F94" s="20" t="s">
        <v>1332</v>
      </c>
      <c r="G94" s="17" t="s">
        <v>85</v>
      </c>
      <c r="H94" s="19" t="s">
        <v>69</v>
      </c>
      <c r="I94" s="18">
        <v>20.533333333333335</v>
      </c>
      <c r="J94" s="17" t="s">
        <v>133</v>
      </c>
      <c r="K94" s="17" t="s">
        <v>132</v>
      </c>
      <c r="L94" s="17"/>
      <c r="M94" s="17"/>
      <c r="N94" s="16" t="str">
        <f>HYPERLINK("http://slimages.macys.com/is/image/MCY/19700402 ")</f>
        <v xml:space="preserve">http://slimages.macys.com/is/image/MCY/19700402 </v>
      </c>
      <c r="O94" s="37"/>
    </row>
    <row r="95" spans="1:15" ht="60" x14ac:dyDescent="0.25">
      <c r="A95" s="19" t="s">
        <v>2893</v>
      </c>
      <c r="B95" s="17" t="s">
        <v>2892</v>
      </c>
      <c r="C95" s="20">
        <v>1</v>
      </c>
      <c r="D95" s="18">
        <v>99.5</v>
      </c>
      <c r="E95" s="18">
        <v>99.5</v>
      </c>
      <c r="F95" s="20" t="s">
        <v>2891</v>
      </c>
      <c r="G95" s="17" t="s">
        <v>272</v>
      </c>
      <c r="H95" s="19" t="s">
        <v>62</v>
      </c>
      <c r="I95" s="18">
        <v>20.046666666666667</v>
      </c>
      <c r="J95" s="17" t="s">
        <v>106</v>
      </c>
      <c r="K95" s="17" t="s">
        <v>105</v>
      </c>
      <c r="L95" s="17"/>
      <c r="M95" s="17"/>
      <c r="N95" s="16" t="str">
        <f>HYPERLINK("http://slimages.macys.com/is/image/MCY/19900008 ")</f>
        <v xml:space="preserve">http://slimages.macys.com/is/image/MCY/19900008 </v>
      </c>
      <c r="O95" s="37"/>
    </row>
    <row r="96" spans="1:15" ht="48" x14ac:dyDescent="0.25">
      <c r="A96" s="19" t="s">
        <v>2890</v>
      </c>
      <c r="B96" s="17" t="s">
        <v>2889</v>
      </c>
      <c r="C96" s="20">
        <v>1</v>
      </c>
      <c r="D96" s="18">
        <v>99</v>
      </c>
      <c r="E96" s="18">
        <v>99</v>
      </c>
      <c r="F96" s="20">
        <v>10773540</v>
      </c>
      <c r="G96" s="17" t="s">
        <v>28</v>
      </c>
      <c r="H96" s="19" t="s">
        <v>96</v>
      </c>
      <c r="I96" s="18">
        <v>19.8</v>
      </c>
      <c r="J96" s="17" t="s">
        <v>115</v>
      </c>
      <c r="K96" s="17" t="s">
        <v>1265</v>
      </c>
      <c r="L96" s="17"/>
      <c r="M96" s="17"/>
      <c r="N96" s="16" t="str">
        <f>HYPERLINK("http://slimages.macys.com/is/image/MCY/16947461 ")</f>
        <v xml:space="preserve">http://slimages.macys.com/is/image/MCY/16947461 </v>
      </c>
      <c r="O96" s="37"/>
    </row>
    <row r="97" spans="1:15" ht="36" x14ac:dyDescent="0.25">
      <c r="A97" s="19" t="s">
        <v>2888</v>
      </c>
      <c r="B97" s="17" t="s">
        <v>2887</v>
      </c>
      <c r="C97" s="20">
        <v>1</v>
      </c>
      <c r="D97" s="18">
        <v>99</v>
      </c>
      <c r="E97" s="18">
        <v>99</v>
      </c>
      <c r="F97" s="20" t="s">
        <v>2886</v>
      </c>
      <c r="G97" s="17" t="s">
        <v>91</v>
      </c>
      <c r="H97" s="19" t="s">
        <v>96</v>
      </c>
      <c r="I97" s="18">
        <v>19.8</v>
      </c>
      <c r="J97" s="17" t="s">
        <v>678</v>
      </c>
      <c r="K97" s="17" t="s">
        <v>404</v>
      </c>
      <c r="L97" s="17"/>
      <c r="M97" s="17"/>
      <c r="N97" s="16" t="str">
        <f>HYPERLINK("http://slimages.macys.com/is/image/MCY/19831300 ")</f>
        <v xml:space="preserve">http://slimages.macys.com/is/image/MCY/19831300 </v>
      </c>
      <c r="O97" s="37"/>
    </row>
    <row r="98" spans="1:15" ht="48" x14ac:dyDescent="0.25">
      <c r="A98" s="19" t="s">
        <v>2885</v>
      </c>
      <c r="B98" s="17" t="s">
        <v>2884</v>
      </c>
      <c r="C98" s="20">
        <v>1</v>
      </c>
      <c r="D98" s="18">
        <v>99</v>
      </c>
      <c r="E98" s="18">
        <v>99</v>
      </c>
      <c r="F98" s="20" t="s">
        <v>2883</v>
      </c>
      <c r="G98" s="17" t="s">
        <v>18</v>
      </c>
      <c r="H98" s="19" t="s">
        <v>658</v>
      </c>
      <c r="I98" s="18">
        <v>19.8</v>
      </c>
      <c r="J98" s="17" t="s">
        <v>144</v>
      </c>
      <c r="K98" s="17" t="s">
        <v>496</v>
      </c>
      <c r="L98" s="17"/>
      <c r="M98" s="17"/>
      <c r="N98" s="16" t="str">
        <f>HYPERLINK("http://slimages.macys.com/is/image/MCY/19447727 ")</f>
        <v xml:space="preserve">http://slimages.macys.com/is/image/MCY/19447727 </v>
      </c>
      <c r="O98" s="37"/>
    </row>
    <row r="99" spans="1:15" ht="48" x14ac:dyDescent="0.25">
      <c r="A99" s="19" t="s">
        <v>2882</v>
      </c>
      <c r="B99" s="17" t="s">
        <v>2881</v>
      </c>
      <c r="C99" s="20">
        <v>1</v>
      </c>
      <c r="D99" s="18">
        <v>89</v>
      </c>
      <c r="E99" s="18">
        <v>89</v>
      </c>
      <c r="F99" s="20" t="s">
        <v>2880</v>
      </c>
      <c r="G99" s="17" t="s">
        <v>2876</v>
      </c>
      <c r="H99" s="19"/>
      <c r="I99" s="18">
        <v>19.64</v>
      </c>
      <c r="J99" s="17" t="s">
        <v>49</v>
      </c>
      <c r="K99" s="17" t="s">
        <v>48</v>
      </c>
      <c r="L99" s="17"/>
      <c r="M99" s="17"/>
      <c r="N99" s="16" t="str">
        <f>HYPERLINK("http://slimages.macys.com/is/image/MCY/19500016 ")</f>
        <v xml:space="preserve">http://slimages.macys.com/is/image/MCY/19500016 </v>
      </c>
      <c r="O99" s="37"/>
    </row>
    <row r="100" spans="1:15" ht="48" x14ac:dyDescent="0.25">
      <c r="A100" s="19" t="s">
        <v>2879</v>
      </c>
      <c r="B100" s="17" t="s">
        <v>2878</v>
      </c>
      <c r="C100" s="20">
        <v>1</v>
      </c>
      <c r="D100" s="18">
        <v>89</v>
      </c>
      <c r="E100" s="18">
        <v>89</v>
      </c>
      <c r="F100" s="20" t="s">
        <v>2877</v>
      </c>
      <c r="G100" s="17" t="s">
        <v>2876</v>
      </c>
      <c r="H100" s="19"/>
      <c r="I100" s="18">
        <v>19.64</v>
      </c>
      <c r="J100" s="17" t="s">
        <v>49</v>
      </c>
      <c r="K100" s="17" t="s">
        <v>48</v>
      </c>
      <c r="L100" s="17"/>
      <c r="M100" s="17"/>
      <c r="N100" s="16" t="str">
        <f>HYPERLINK("http://slimages.macys.com/is/image/MCY/19634700 ")</f>
        <v xml:space="preserve">http://slimages.macys.com/is/image/MCY/19634700 </v>
      </c>
      <c r="O100" s="37"/>
    </row>
    <row r="101" spans="1:15" ht="36" x14ac:dyDescent="0.25">
      <c r="A101" s="19" t="s">
        <v>2875</v>
      </c>
      <c r="B101" s="17" t="s">
        <v>2874</v>
      </c>
      <c r="C101" s="20">
        <v>9</v>
      </c>
      <c r="D101" s="18">
        <v>85</v>
      </c>
      <c r="E101" s="18">
        <v>765</v>
      </c>
      <c r="F101" s="20" t="s">
        <v>1314</v>
      </c>
      <c r="G101" s="17" t="s">
        <v>562</v>
      </c>
      <c r="H101" s="19" t="s">
        <v>62</v>
      </c>
      <c r="I101" s="18">
        <v>19.333333333333332</v>
      </c>
      <c r="J101" s="17" t="s">
        <v>133</v>
      </c>
      <c r="K101" s="17" t="s">
        <v>833</v>
      </c>
      <c r="L101" s="17"/>
      <c r="M101" s="17"/>
      <c r="N101" s="16" t="str">
        <f>HYPERLINK("http://slimages.macys.com/is/image/MCY/19305509 ")</f>
        <v xml:space="preserve">http://slimages.macys.com/is/image/MCY/19305509 </v>
      </c>
      <c r="O101" s="37"/>
    </row>
    <row r="102" spans="1:15" ht="36" x14ac:dyDescent="0.25">
      <c r="A102" s="19" t="s">
        <v>2873</v>
      </c>
      <c r="B102" s="17" t="s">
        <v>2872</v>
      </c>
      <c r="C102" s="20">
        <v>7</v>
      </c>
      <c r="D102" s="18">
        <v>85</v>
      </c>
      <c r="E102" s="18">
        <v>595</v>
      </c>
      <c r="F102" s="20" t="s">
        <v>1314</v>
      </c>
      <c r="G102" s="17" t="s">
        <v>562</v>
      </c>
      <c r="H102" s="19" t="s">
        <v>74</v>
      </c>
      <c r="I102" s="18">
        <v>19.333333333333332</v>
      </c>
      <c r="J102" s="17" t="s">
        <v>133</v>
      </c>
      <c r="K102" s="17" t="s">
        <v>833</v>
      </c>
      <c r="L102" s="17"/>
      <c r="M102" s="17"/>
      <c r="N102" s="16" t="str">
        <f>HYPERLINK("http://slimages.macys.com/is/image/MCY/19305509 ")</f>
        <v xml:space="preserve">http://slimages.macys.com/is/image/MCY/19305509 </v>
      </c>
      <c r="O102" s="37"/>
    </row>
    <row r="103" spans="1:15" ht="48" x14ac:dyDescent="0.25">
      <c r="A103" s="19" t="s">
        <v>2871</v>
      </c>
      <c r="B103" s="17" t="s">
        <v>2870</v>
      </c>
      <c r="C103" s="20">
        <v>1</v>
      </c>
      <c r="D103" s="18">
        <v>99</v>
      </c>
      <c r="E103" s="18">
        <v>99</v>
      </c>
      <c r="F103" s="20">
        <v>10807560</v>
      </c>
      <c r="G103" s="17" t="s">
        <v>282</v>
      </c>
      <c r="H103" s="19" t="s">
        <v>197</v>
      </c>
      <c r="I103" s="18">
        <v>19.14</v>
      </c>
      <c r="J103" s="17" t="s">
        <v>120</v>
      </c>
      <c r="K103" s="17" t="s">
        <v>119</v>
      </c>
      <c r="L103" s="17"/>
      <c r="M103" s="17"/>
      <c r="N103" s="16" t="str">
        <f>HYPERLINK("http://slimages.macys.com/is/image/MCY/19878249 ")</f>
        <v xml:space="preserve">http://slimages.macys.com/is/image/MCY/19878249 </v>
      </c>
      <c r="O103" s="37"/>
    </row>
    <row r="104" spans="1:15" ht="60" x14ac:dyDescent="0.25">
      <c r="A104" s="19" t="s">
        <v>2869</v>
      </c>
      <c r="B104" s="17" t="s">
        <v>2868</v>
      </c>
      <c r="C104" s="20">
        <v>2</v>
      </c>
      <c r="D104" s="18">
        <v>89.5</v>
      </c>
      <c r="E104" s="18">
        <v>179</v>
      </c>
      <c r="F104" s="20" t="s">
        <v>2865</v>
      </c>
      <c r="G104" s="17"/>
      <c r="H104" s="19" t="s">
        <v>69</v>
      </c>
      <c r="I104" s="18">
        <v>19</v>
      </c>
      <c r="J104" s="17" t="s">
        <v>80</v>
      </c>
      <c r="K104" s="17" t="s">
        <v>531</v>
      </c>
      <c r="L104" s="17"/>
      <c r="M104" s="17"/>
      <c r="N104" s="16" t="str">
        <f>HYPERLINK("http://slimages.macys.com/is/image/MCY/18371433 ")</f>
        <v xml:space="preserve">http://slimages.macys.com/is/image/MCY/18371433 </v>
      </c>
      <c r="O104" s="37"/>
    </row>
    <row r="105" spans="1:15" ht="60" x14ac:dyDescent="0.25">
      <c r="A105" s="19" t="s">
        <v>2867</v>
      </c>
      <c r="B105" s="17" t="s">
        <v>2866</v>
      </c>
      <c r="C105" s="20">
        <v>1</v>
      </c>
      <c r="D105" s="18">
        <v>89.5</v>
      </c>
      <c r="E105" s="18">
        <v>89.5</v>
      </c>
      <c r="F105" s="20" t="s">
        <v>2865</v>
      </c>
      <c r="G105" s="17"/>
      <c r="H105" s="19" t="s">
        <v>74</v>
      </c>
      <c r="I105" s="18">
        <v>19</v>
      </c>
      <c r="J105" s="17" t="s">
        <v>80</v>
      </c>
      <c r="K105" s="17" t="s">
        <v>531</v>
      </c>
      <c r="L105" s="17"/>
      <c r="M105" s="17"/>
      <c r="N105" s="16" t="str">
        <f>HYPERLINK("http://slimages.macys.com/is/image/MCY/18371433 ")</f>
        <v xml:space="preserve">http://slimages.macys.com/is/image/MCY/18371433 </v>
      </c>
      <c r="O105" s="37"/>
    </row>
    <row r="106" spans="1:15" ht="36" x14ac:dyDescent="0.25">
      <c r="A106" s="19" t="s">
        <v>2864</v>
      </c>
      <c r="B106" s="17" t="s">
        <v>2863</v>
      </c>
      <c r="C106" s="20">
        <v>1</v>
      </c>
      <c r="D106" s="18">
        <v>89</v>
      </c>
      <c r="E106" s="18">
        <v>89</v>
      </c>
      <c r="F106" s="20">
        <v>7069229</v>
      </c>
      <c r="G106" s="17" t="s">
        <v>508</v>
      </c>
      <c r="H106" s="19" t="s">
        <v>62</v>
      </c>
      <c r="I106" s="18">
        <v>18.986666666666668</v>
      </c>
      <c r="J106" s="17" t="s">
        <v>111</v>
      </c>
      <c r="K106" s="17" t="s">
        <v>110</v>
      </c>
      <c r="L106" s="17" t="s">
        <v>389</v>
      </c>
      <c r="M106" s="17" t="s">
        <v>2860</v>
      </c>
      <c r="N106" s="16" t="str">
        <f>HYPERLINK("http://slimages.macys.com/is/image/MCY/15239598 ")</f>
        <v xml:space="preserve">http://slimages.macys.com/is/image/MCY/15239598 </v>
      </c>
      <c r="O106" s="37"/>
    </row>
    <row r="107" spans="1:15" ht="36" x14ac:dyDescent="0.25">
      <c r="A107" s="19" t="s">
        <v>2862</v>
      </c>
      <c r="B107" s="17" t="s">
        <v>2861</v>
      </c>
      <c r="C107" s="20">
        <v>1</v>
      </c>
      <c r="D107" s="18">
        <v>89</v>
      </c>
      <c r="E107" s="18">
        <v>89</v>
      </c>
      <c r="F107" s="20">
        <v>7069229</v>
      </c>
      <c r="G107" s="17" t="s">
        <v>91</v>
      </c>
      <c r="H107" s="19" t="s">
        <v>62</v>
      </c>
      <c r="I107" s="18">
        <v>18.986666666666668</v>
      </c>
      <c r="J107" s="17" t="s">
        <v>111</v>
      </c>
      <c r="K107" s="17" t="s">
        <v>110</v>
      </c>
      <c r="L107" s="17" t="s">
        <v>389</v>
      </c>
      <c r="M107" s="17" t="s">
        <v>2860</v>
      </c>
      <c r="N107" s="16" t="str">
        <f>HYPERLINK("http://slimages.macys.com/is/image/MCY/15239479 ")</f>
        <v xml:space="preserve">http://slimages.macys.com/is/image/MCY/15239479 </v>
      </c>
      <c r="O107" s="37"/>
    </row>
    <row r="108" spans="1:15" ht="48" x14ac:dyDescent="0.25">
      <c r="A108" s="19" t="s">
        <v>2859</v>
      </c>
      <c r="B108" s="17" t="s">
        <v>2858</v>
      </c>
      <c r="C108" s="20">
        <v>1</v>
      </c>
      <c r="D108" s="18">
        <v>66.75</v>
      </c>
      <c r="E108" s="18">
        <v>66.75</v>
      </c>
      <c r="F108" s="20">
        <v>10769534</v>
      </c>
      <c r="G108" s="17" t="s">
        <v>28</v>
      </c>
      <c r="H108" s="19" t="s">
        <v>916</v>
      </c>
      <c r="I108" s="18">
        <v>18.693333333333332</v>
      </c>
      <c r="J108" s="17" t="s">
        <v>358</v>
      </c>
      <c r="K108" s="17" t="s">
        <v>143</v>
      </c>
      <c r="L108" s="17"/>
      <c r="M108" s="17"/>
      <c r="N108" s="16" t="str">
        <f>HYPERLINK("http://slimages.macys.com/is/image/MCY/19096266 ")</f>
        <v xml:space="preserve">http://slimages.macys.com/is/image/MCY/19096266 </v>
      </c>
      <c r="O108" s="37"/>
    </row>
    <row r="109" spans="1:15" ht="48" x14ac:dyDescent="0.25">
      <c r="A109" s="19" t="s">
        <v>2857</v>
      </c>
      <c r="B109" s="17" t="s">
        <v>2856</v>
      </c>
      <c r="C109" s="20">
        <v>1</v>
      </c>
      <c r="D109" s="18">
        <v>74.25</v>
      </c>
      <c r="E109" s="18">
        <v>74.25</v>
      </c>
      <c r="F109" s="20" t="s">
        <v>2855</v>
      </c>
      <c r="G109" s="17" t="s">
        <v>282</v>
      </c>
      <c r="H109" s="19" t="s">
        <v>1445</v>
      </c>
      <c r="I109" s="18">
        <v>18.686666666666667</v>
      </c>
      <c r="J109" s="17" t="s">
        <v>358</v>
      </c>
      <c r="K109" s="17" t="s">
        <v>32</v>
      </c>
      <c r="L109" s="17"/>
      <c r="M109" s="17"/>
      <c r="N109" s="16" t="str">
        <f>HYPERLINK("http://slimages.macys.com/is/image/MCY/18747202 ")</f>
        <v xml:space="preserve">http://slimages.macys.com/is/image/MCY/18747202 </v>
      </c>
      <c r="O109" s="37"/>
    </row>
    <row r="110" spans="1:15" ht="48" x14ac:dyDescent="0.25">
      <c r="A110" s="19" t="s">
        <v>2854</v>
      </c>
      <c r="B110" s="17" t="s">
        <v>2853</v>
      </c>
      <c r="C110" s="20">
        <v>1</v>
      </c>
      <c r="D110" s="18">
        <v>74.25</v>
      </c>
      <c r="E110" s="18">
        <v>74.25</v>
      </c>
      <c r="F110" s="20" t="s">
        <v>1293</v>
      </c>
      <c r="G110" s="17" t="s">
        <v>562</v>
      </c>
      <c r="H110" s="19"/>
      <c r="I110" s="18">
        <v>18.68</v>
      </c>
      <c r="J110" s="17" t="s">
        <v>358</v>
      </c>
      <c r="K110" s="17" t="s">
        <v>32</v>
      </c>
      <c r="L110" s="17"/>
      <c r="M110" s="17"/>
      <c r="N110" s="16" t="str">
        <f>HYPERLINK("http://slimages.macys.com/is/image/MCY/19547877 ")</f>
        <v xml:space="preserve">http://slimages.macys.com/is/image/MCY/19547877 </v>
      </c>
      <c r="O110" s="37"/>
    </row>
    <row r="111" spans="1:15" ht="36" x14ac:dyDescent="0.25">
      <c r="A111" s="19" t="s">
        <v>2852</v>
      </c>
      <c r="B111" s="17" t="s">
        <v>2851</v>
      </c>
      <c r="C111" s="20">
        <v>7</v>
      </c>
      <c r="D111" s="18">
        <v>68</v>
      </c>
      <c r="E111" s="18">
        <v>476</v>
      </c>
      <c r="F111" s="20" t="s">
        <v>1282</v>
      </c>
      <c r="G111" s="17" t="s">
        <v>23</v>
      </c>
      <c r="H111" s="19" t="s">
        <v>74</v>
      </c>
      <c r="I111" s="18">
        <v>18.666666666666668</v>
      </c>
      <c r="J111" s="17" t="s">
        <v>133</v>
      </c>
      <c r="K111" s="17" t="s">
        <v>833</v>
      </c>
      <c r="L111" s="17"/>
      <c r="M111" s="17"/>
      <c r="N111" s="16" t="str">
        <f>HYPERLINK("http://slimages.macys.com/is/image/MCY/19304674 ")</f>
        <v xml:space="preserve">http://slimages.macys.com/is/image/MCY/19304674 </v>
      </c>
      <c r="O111" s="37"/>
    </row>
    <row r="112" spans="1:15" ht="36" x14ac:dyDescent="0.25">
      <c r="A112" s="19" t="s">
        <v>1288</v>
      </c>
      <c r="B112" s="17" t="s">
        <v>1287</v>
      </c>
      <c r="C112" s="20">
        <v>6</v>
      </c>
      <c r="D112" s="18">
        <v>68</v>
      </c>
      <c r="E112" s="18">
        <v>408</v>
      </c>
      <c r="F112" s="20" t="s">
        <v>1282</v>
      </c>
      <c r="G112" s="17" t="s">
        <v>23</v>
      </c>
      <c r="H112" s="19" t="s">
        <v>62</v>
      </c>
      <c r="I112" s="18">
        <v>18.666666666666668</v>
      </c>
      <c r="J112" s="17" t="s">
        <v>133</v>
      </c>
      <c r="K112" s="17" t="s">
        <v>833</v>
      </c>
      <c r="L112" s="17"/>
      <c r="M112" s="17"/>
      <c r="N112" s="16" t="str">
        <f>HYPERLINK("http://slimages.macys.com/is/image/MCY/19304674 ")</f>
        <v xml:space="preserve">http://slimages.macys.com/is/image/MCY/19304674 </v>
      </c>
      <c r="O112" s="37"/>
    </row>
    <row r="113" spans="1:15" ht="36" x14ac:dyDescent="0.25">
      <c r="A113" s="19" t="s">
        <v>1286</v>
      </c>
      <c r="B113" s="17" t="s">
        <v>1285</v>
      </c>
      <c r="C113" s="20">
        <v>2</v>
      </c>
      <c r="D113" s="18">
        <v>68</v>
      </c>
      <c r="E113" s="18">
        <v>136</v>
      </c>
      <c r="F113" s="20" t="s">
        <v>1282</v>
      </c>
      <c r="G113" s="17" t="s">
        <v>23</v>
      </c>
      <c r="H113" s="19" t="s">
        <v>57</v>
      </c>
      <c r="I113" s="18">
        <v>18.666666666666668</v>
      </c>
      <c r="J113" s="17" t="s">
        <v>133</v>
      </c>
      <c r="K113" s="17" t="s">
        <v>833</v>
      </c>
      <c r="L113" s="17"/>
      <c r="M113" s="17"/>
      <c r="N113" s="16" t="str">
        <f>HYPERLINK("http://slimages.macys.com/is/image/MCY/19304674 ")</f>
        <v xml:space="preserve">http://slimages.macys.com/is/image/MCY/19304674 </v>
      </c>
      <c r="O113" s="37"/>
    </row>
    <row r="114" spans="1:15" ht="36" x14ac:dyDescent="0.25">
      <c r="A114" s="19" t="s">
        <v>1284</v>
      </c>
      <c r="B114" s="17" t="s">
        <v>1283</v>
      </c>
      <c r="C114" s="20">
        <v>1</v>
      </c>
      <c r="D114" s="18">
        <v>68</v>
      </c>
      <c r="E114" s="18">
        <v>68</v>
      </c>
      <c r="F114" s="20" t="s">
        <v>1282</v>
      </c>
      <c r="G114" s="17" t="s">
        <v>23</v>
      </c>
      <c r="H114" s="19" t="s">
        <v>69</v>
      </c>
      <c r="I114" s="18">
        <v>18.666666666666668</v>
      </c>
      <c r="J114" s="17" t="s">
        <v>133</v>
      </c>
      <c r="K114" s="17" t="s">
        <v>833</v>
      </c>
      <c r="L114" s="17"/>
      <c r="M114" s="17"/>
      <c r="N114" s="16" t="str">
        <f>HYPERLINK("http://slimages.macys.com/is/image/MCY/19304674 ")</f>
        <v xml:space="preserve">http://slimages.macys.com/is/image/MCY/19304674 </v>
      </c>
      <c r="O114" s="37"/>
    </row>
    <row r="115" spans="1:15" ht="60" x14ac:dyDescent="0.25">
      <c r="A115" s="19" t="s">
        <v>2850</v>
      </c>
      <c r="B115" s="17" t="s">
        <v>2849</v>
      </c>
      <c r="C115" s="20">
        <v>1</v>
      </c>
      <c r="D115" s="18">
        <v>74.25</v>
      </c>
      <c r="E115" s="18">
        <v>74.25</v>
      </c>
      <c r="F115" s="20" t="s">
        <v>2848</v>
      </c>
      <c r="G115" s="17" t="s">
        <v>35</v>
      </c>
      <c r="H115" s="19" t="s">
        <v>916</v>
      </c>
      <c r="I115" s="18">
        <v>18.559999999999999</v>
      </c>
      <c r="J115" s="17" t="s">
        <v>358</v>
      </c>
      <c r="K115" s="17" t="s">
        <v>32</v>
      </c>
      <c r="L115" s="17" t="s">
        <v>389</v>
      </c>
      <c r="M115" s="17" t="s">
        <v>2847</v>
      </c>
      <c r="N115" s="16" t="str">
        <f>HYPERLINK("http://slimages.macys.com/is/image/MCY/16092106 ")</f>
        <v xml:space="preserve">http://slimages.macys.com/is/image/MCY/16092106 </v>
      </c>
      <c r="O115" s="37"/>
    </row>
    <row r="116" spans="1:15" ht="48" x14ac:dyDescent="0.25">
      <c r="A116" s="19" t="s">
        <v>2846</v>
      </c>
      <c r="B116" s="17" t="s">
        <v>2845</v>
      </c>
      <c r="C116" s="20">
        <v>1</v>
      </c>
      <c r="D116" s="18">
        <v>99</v>
      </c>
      <c r="E116" s="18">
        <v>99</v>
      </c>
      <c r="F116" s="20">
        <v>10807642</v>
      </c>
      <c r="G116" s="17" t="s">
        <v>237</v>
      </c>
      <c r="H116" s="19" t="s">
        <v>271</v>
      </c>
      <c r="I116" s="18">
        <v>18.48</v>
      </c>
      <c r="J116" s="17" t="s">
        <v>1307</v>
      </c>
      <c r="K116" s="17" t="s">
        <v>1306</v>
      </c>
      <c r="L116" s="17"/>
      <c r="M116" s="17"/>
      <c r="N116" s="16" t="str">
        <f>HYPERLINK("http://slimages.macys.com/is/image/MCY/19531402 ")</f>
        <v xml:space="preserve">http://slimages.macys.com/is/image/MCY/19531402 </v>
      </c>
      <c r="O116" s="37"/>
    </row>
    <row r="117" spans="1:15" ht="60" x14ac:dyDescent="0.25">
      <c r="A117" s="19" t="s">
        <v>2844</v>
      </c>
      <c r="B117" s="17" t="s">
        <v>2843</v>
      </c>
      <c r="C117" s="20">
        <v>1</v>
      </c>
      <c r="D117" s="18">
        <v>79</v>
      </c>
      <c r="E117" s="18">
        <v>79</v>
      </c>
      <c r="F117" s="20">
        <v>8131021</v>
      </c>
      <c r="G117" s="17" t="s">
        <v>1526</v>
      </c>
      <c r="H117" s="19" t="s">
        <v>17</v>
      </c>
      <c r="I117" s="18">
        <v>18.433333333333334</v>
      </c>
      <c r="J117" s="17" t="s">
        <v>129</v>
      </c>
      <c r="K117" s="17" t="s">
        <v>2842</v>
      </c>
      <c r="L117" s="17"/>
      <c r="M117" s="17"/>
      <c r="N117" s="16" t="str">
        <f>HYPERLINK("http://slimages.macys.com/is/image/MCY/19438311 ")</f>
        <v xml:space="preserve">http://slimages.macys.com/is/image/MCY/19438311 </v>
      </c>
      <c r="O117" s="37"/>
    </row>
    <row r="118" spans="1:15" ht="36" x14ac:dyDescent="0.25">
      <c r="A118" s="19" t="s">
        <v>2841</v>
      </c>
      <c r="B118" s="17" t="s">
        <v>2840</v>
      </c>
      <c r="C118" s="20">
        <v>1</v>
      </c>
      <c r="D118" s="18">
        <v>66.75</v>
      </c>
      <c r="E118" s="18">
        <v>66.75</v>
      </c>
      <c r="F118" s="20">
        <v>10791454</v>
      </c>
      <c r="G118" s="17" t="s">
        <v>63</v>
      </c>
      <c r="H118" s="19" t="s">
        <v>880</v>
      </c>
      <c r="I118" s="18">
        <v>18.24666666666667</v>
      </c>
      <c r="J118" s="17" t="s">
        <v>358</v>
      </c>
      <c r="K118" s="17" t="s">
        <v>143</v>
      </c>
      <c r="L118" s="17"/>
      <c r="M118" s="17"/>
      <c r="N118" s="16" t="str">
        <f>HYPERLINK("http://slimages.macys.com/is/image/MCY/17966929 ")</f>
        <v xml:space="preserve">http://slimages.macys.com/is/image/MCY/17966929 </v>
      </c>
      <c r="O118" s="37"/>
    </row>
    <row r="119" spans="1:15" ht="48" x14ac:dyDescent="0.25">
      <c r="A119" s="19" t="s">
        <v>2839</v>
      </c>
      <c r="B119" s="17" t="s">
        <v>2838</v>
      </c>
      <c r="C119" s="20">
        <v>2</v>
      </c>
      <c r="D119" s="18">
        <v>69.3</v>
      </c>
      <c r="E119" s="18">
        <v>138.6</v>
      </c>
      <c r="F119" s="20" t="s">
        <v>2837</v>
      </c>
      <c r="G119" s="17" t="s">
        <v>544</v>
      </c>
      <c r="H119" s="19" t="s">
        <v>69</v>
      </c>
      <c r="I119" s="18">
        <v>18.080000000000002</v>
      </c>
      <c r="J119" s="17" t="s">
        <v>42</v>
      </c>
      <c r="K119" s="17" t="s">
        <v>41</v>
      </c>
      <c r="L119" s="17"/>
      <c r="M119" s="17"/>
      <c r="N119" s="16" t="str">
        <f>HYPERLINK("http://slimages.macys.com/is/image/MCY/18917123 ")</f>
        <v xml:space="preserve">http://slimages.macys.com/is/image/MCY/18917123 </v>
      </c>
      <c r="O119" s="37"/>
    </row>
    <row r="120" spans="1:15" ht="48" x14ac:dyDescent="0.25">
      <c r="A120" s="19" t="s">
        <v>2836</v>
      </c>
      <c r="B120" s="17" t="s">
        <v>2835</v>
      </c>
      <c r="C120" s="20">
        <v>5</v>
      </c>
      <c r="D120" s="18">
        <v>79</v>
      </c>
      <c r="E120" s="18">
        <v>395</v>
      </c>
      <c r="F120" s="20" t="s">
        <v>2834</v>
      </c>
      <c r="G120" s="17" t="s">
        <v>345</v>
      </c>
      <c r="H120" s="19" t="s">
        <v>17</v>
      </c>
      <c r="I120" s="18">
        <v>17.433333333333337</v>
      </c>
      <c r="J120" s="17" t="s">
        <v>49</v>
      </c>
      <c r="K120" s="17" t="s">
        <v>48</v>
      </c>
      <c r="L120" s="17"/>
      <c r="M120" s="17"/>
      <c r="N120" s="16" t="str">
        <f>HYPERLINK("http://slimages.macys.com/is/image/MCY/19136704 ")</f>
        <v xml:space="preserve">http://slimages.macys.com/is/image/MCY/19136704 </v>
      </c>
      <c r="O120" s="37"/>
    </row>
    <row r="121" spans="1:15" ht="48" x14ac:dyDescent="0.25">
      <c r="A121" s="19" t="s">
        <v>2833</v>
      </c>
      <c r="B121" s="17" t="s">
        <v>2832</v>
      </c>
      <c r="C121" s="20">
        <v>1</v>
      </c>
      <c r="D121" s="18">
        <v>79</v>
      </c>
      <c r="E121" s="18">
        <v>79</v>
      </c>
      <c r="F121" s="20" t="s">
        <v>2831</v>
      </c>
      <c r="G121" s="17" t="s">
        <v>58</v>
      </c>
      <c r="H121" s="19" t="s">
        <v>50</v>
      </c>
      <c r="I121" s="18">
        <v>17.433333333333337</v>
      </c>
      <c r="J121" s="17" t="s">
        <v>49</v>
      </c>
      <c r="K121" s="17" t="s">
        <v>48</v>
      </c>
      <c r="L121" s="17"/>
      <c r="M121" s="17"/>
      <c r="N121" s="16" t="str">
        <f>HYPERLINK("http://slimages.macys.com/is/image/MCY/19352389 ")</f>
        <v xml:space="preserve">http://slimages.macys.com/is/image/MCY/19352389 </v>
      </c>
      <c r="O121" s="37"/>
    </row>
    <row r="122" spans="1:15" ht="48" x14ac:dyDescent="0.25">
      <c r="A122" s="19" t="s">
        <v>2830</v>
      </c>
      <c r="B122" s="17" t="s">
        <v>2829</v>
      </c>
      <c r="C122" s="20">
        <v>7</v>
      </c>
      <c r="D122" s="18">
        <v>79</v>
      </c>
      <c r="E122" s="18">
        <v>553</v>
      </c>
      <c r="F122" s="20" t="s">
        <v>2828</v>
      </c>
      <c r="G122" s="17" t="s">
        <v>282</v>
      </c>
      <c r="H122" s="19" t="s">
        <v>682</v>
      </c>
      <c r="I122" s="18">
        <v>17.433333333333337</v>
      </c>
      <c r="J122" s="17" t="s">
        <v>49</v>
      </c>
      <c r="K122" s="17" t="s">
        <v>48</v>
      </c>
      <c r="L122" s="17"/>
      <c r="M122" s="17"/>
      <c r="N122" s="16" t="str">
        <f>HYPERLINK("http://slimages.macys.com/is/image/MCY/19192466 ")</f>
        <v xml:space="preserve">http://slimages.macys.com/is/image/MCY/19192466 </v>
      </c>
      <c r="O122" s="37"/>
    </row>
    <row r="123" spans="1:15" ht="48" x14ac:dyDescent="0.25">
      <c r="A123" s="19" t="s">
        <v>2827</v>
      </c>
      <c r="B123" s="17" t="s">
        <v>2826</v>
      </c>
      <c r="C123" s="20">
        <v>1</v>
      </c>
      <c r="D123" s="18">
        <v>89.5</v>
      </c>
      <c r="E123" s="18">
        <v>89.5</v>
      </c>
      <c r="F123" s="20" t="s">
        <v>2825</v>
      </c>
      <c r="G123" s="17" t="s">
        <v>1536</v>
      </c>
      <c r="H123" s="19" t="s">
        <v>62</v>
      </c>
      <c r="I123" s="18">
        <v>16.853333333333335</v>
      </c>
      <c r="J123" s="17" t="s">
        <v>68</v>
      </c>
      <c r="K123" s="17" t="s">
        <v>67</v>
      </c>
      <c r="L123" s="17"/>
      <c r="M123" s="17"/>
      <c r="N123" s="16" t="str">
        <f>HYPERLINK("http://slimages.macys.com/is/image/MCY/18390704 ")</f>
        <v xml:space="preserve">http://slimages.macys.com/is/image/MCY/18390704 </v>
      </c>
      <c r="O123" s="37"/>
    </row>
    <row r="124" spans="1:15" ht="60" x14ac:dyDescent="0.25">
      <c r="A124" s="19" t="s">
        <v>2824</v>
      </c>
      <c r="B124" s="17" t="s">
        <v>2823</v>
      </c>
      <c r="C124" s="20">
        <v>1</v>
      </c>
      <c r="D124" s="18">
        <v>89.5</v>
      </c>
      <c r="E124" s="18">
        <v>89.5</v>
      </c>
      <c r="F124" s="20" t="s">
        <v>2822</v>
      </c>
      <c r="G124" s="17" t="s">
        <v>28</v>
      </c>
      <c r="H124" s="19" t="s">
        <v>271</v>
      </c>
      <c r="I124" s="18">
        <v>16.853333333333335</v>
      </c>
      <c r="J124" s="17" t="s">
        <v>1891</v>
      </c>
      <c r="K124" s="17" t="s">
        <v>67</v>
      </c>
      <c r="L124" s="17"/>
      <c r="M124" s="17"/>
      <c r="N124" s="16" t="str">
        <f>HYPERLINK("http://slimages.macys.com/is/image/MCY/18981155 ")</f>
        <v xml:space="preserve">http://slimages.macys.com/is/image/MCY/18981155 </v>
      </c>
      <c r="O124" s="37"/>
    </row>
    <row r="125" spans="1:15" ht="60" x14ac:dyDescent="0.25">
      <c r="A125" s="19" t="s">
        <v>2008</v>
      </c>
      <c r="B125" s="17" t="s">
        <v>2007</v>
      </c>
      <c r="C125" s="20">
        <v>1</v>
      </c>
      <c r="D125" s="18">
        <v>79.5</v>
      </c>
      <c r="E125" s="18">
        <v>79.5</v>
      </c>
      <c r="F125" s="20" t="s">
        <v>590</v>
      </c>
      <c r="G125" s="17" t="s">
        <v>58</v>
      </c>
      <c r="H125" s="19" t="s">
        <v>69</v>
      </c>
      <c r="I125" s="18">
        <v>16.833333333333332</v>
      </c>
      <c r="J125" s="17" t="s">
        <v>80</v>
      </c>
      <c r="K125" s="17" t="s">
        <v>531</v>
      </c>
      <c r="L125" s="17"/>
      <c r="M125" s="17"/>
      <c r="N125" s="16" t="str">
        <f>HYPERLINK("http://slimages.macys.com/is/image/MCY/18269800 ")</f>
        <v xml:space="preserve">http://slimages.macys.com/is/image/MCY/18269800 </v>
      </c>
      <c r="O125" s="37"/>
    </row>
    <row r="126" spans="1:15" ht="60" x14ac:dyDescent="0.25">
      <c r="A126" s="19" t="s">
        <v>2821</v>
      </c>
      <c r="B126" s="17" t="s">
        <v>2820</v>
      </c>
      <c r="C126" s="20">
        <v>1</v>
      </c>
      <c r="D126" s="18">
        <v>79.5</v>
      </c>
      <c r="E126" s="18">
        <v>79.5</v>
      </c>
      <c r="F126" s="20" t="s">
        <v>590</v>
      </c>
      <c r="G126" s="17" t="s">
        <v>51</v>
      </c>
      <c r="H126" s="19" t="s">
        <v>69</v>
      </c>
      <c r="I126" s="18">
        <v>16.833333333333332</v>
      </c>
      <c r="J126" s="17" t="s">
        <v>80</v>
      </c>
      <c r="K126" s="17" t="s">
        <v>531</v>
      </c>
      <c r="L126" s="17"/>
      <c r="M126" s="17"/>
      <c r="N126" s="16" t="str">
        <f>HYPERLINK("http://slimages.macys.com/is/image/MCY/18269800 ")</f>
        <v xml:space="preserve">http://slimages.macys.com/is/image/MCY/18269800 </v>
      </c>
      <c r="O126" s="37"/>
    </row>
    <row r="127" spans="1:15" ht="72" x14ac:dyDescent="0.25">
      <c r="A127" s="19" t="s">
        <v>2819</v>
      </c>
      <c r="B127" s="17" t="s">
        <v>2818</v>
      </c>
      <c r="C127" s="20">
        <v>1</v>
      </c>
      <c r="D127" s="18">
        <v>66.75</v>
      </c>
      <c r="E127" s="18">
        <v>66.75</v>
      </c>
      <c r="F127" s="20" t="s">
        <v>2817</v>
      </c>
      <c r="G127" s="17" t="s">
        <v>44</v>
      </c>
      <c r="H127" s="19" t="s">
        <v>1155</v>
      </c>
      <c r="I127" s="18">
        <v>16.793333333333337</v>
      </c>
      <c r="J127" s="17" t="s">
        <v>33</v>
      </c>
      <c r="K127" s="17" t="s">
        <v>32</v>
      </c>
      <c r="L127" s="17" t="s">
        <v>389</v>
      </c>
      <c r="M127" s="17" t="s">
        <v>2816</v>
      </c>
      <c r="N127" s="16" t="str">
        <f>HYPERLINK("http://slimages.macys.com/is/image/MCY/10267554 ")</f>
        <v xml:space="preserve">http://slimages.macys.com/is/image/MCY/10267554 </v>
      </c>
      <c r="O127" s="37"/>
    </row>
    <row r="128" spans="1:15" ht="48" x14ac:dyDescent="0.25">
      <c r="A128" s="19" t="s">
        <v>2815</v>
      </c>
      <c r="B128" s="17" t="s">
        <v>2814</v>
      </c>
      <c r="C128" s="20">
        <v>1</v>
      </c>
      <c r="D128" s="18">
        <v>89</v>
      </c>
      <c r="E128" s="18">
        <v>89</v>
      </c>
      <c r="F128" s="20" t="s">
        <v>2813</v>
      </c>
      <c r="G128" s="17" t="s">
        <v>58</v>
      </c>
      <c r="H128" s="19" t="s">
        <v>698</v>
      </c>
      <c r="I128" s="18">
        <v>16.613333333333333</v>
      </c>
      <c r="J128" s="17" t="s">
        <v>820</v>
      </c>
      <c r="K128" s="17" t="s">
        <v>67</v>
      </c>
      <c r="L128" s="17"/>
      <c r="M128" s="17"/>
      <c r="N128" s="16" t="str">
        <f>HYPERLINK("http://slimages.macys.com/is/image/MCY/19908176 ")</f>
        <v xml:space="preserve">http://slimages.macys.com/is/image/MCY/19908176 </v>
      </c>
      <c r="O128" s="37"/>
    </row>
    <row r="129" spans="1:15" ht="48" x14ac:dyDescent="0.25">
      <c r="A129" s="19" t="s">
        <v>2812</v>
      </c>
      <c r="B129" s="17" t="s">
        <v>2811</v>
      </c>
      <c r="C129" s="20">
        <v>1</v>
      </c>
      <c r="D129" s="18">
        <v>59.25</v>
      </c>
      <c r="E129" s="18">
        <v>59.25</v>
      </c>
      <c r="F129" s="20">
        <v>10802958</v>
      </c>
      <c r="G129" s="17" t="s">
        <v>51</v>
      </c>
      <c r="H129" s="19" t="s">
        <v>1191</v>
      </c>
      <c r="I129" s="18">
        <v>16.593333333333334</v>
      </c>
      <c r="J129" s="17" t="s">
        <v>358</v>
      </c>
      <c r="K129" s="17" t="s">
        <v>143</v>
      </c>
      <c r="L129" s="17"/>
      <c r="M129" s="17"/>
      <c r="N129" s="16" t="str">
        <f>HYPERLINK("http://slimages.macys.com/is/image/MCY/19286668 ")</f>
        <v xml:space="preserve">http://slimages.macys.com/is/image/MCY/19286668 </v>
      </c>
      <c r="O129" s="37"/>
    </row>
    <row r="130" spans="1:15" ht="60" x14ac:dyDescent="0.25">
      <c r="A130" s="19" t="s">
        <v>2810</v>
      </c>
      <c r="B130" s="17" t="s">
        <v>2809</v>
      </c>
      <c r="C130" s="20">
        <v>1</v>
      </c>
      <c r="D130" s="18">
        <v>79.5</v>
      </c>
      <c r="E130" s="18">
        <v>79.5</v>
      </c>
      <c r="F130" s="20" t="s">
        <v>2794</v>
      </c>
      <c r="G130" s="17" t="s">
        <v>51</v>
      </c>
      <c r="H130" s="19" t="s">
        <v>197</v>
      </c>
      <c r="I130" s="18">
        <v>16.013333333333335</v>
      </c>
      <c r="J130" s="17" t="s">
        <v>106</v>
      </c>
      <c r="K130" s="17" t="s">
        <v>105</v>
      </c>
      <c r="L130" s="17"/>
      <c r="M130" s="17"/>
      <c r="N130" s="16" t="str">
        <f>HYPERLINK("http://slimages.macys.com/is/image/MCY/19900271 ")</f>
        <v xml:space="preserve">http://slimages.macys.com/is/image/MCY/19900271 </v>
      </c>
      <c r="O130" s="37"/>
    </row>
    <row r="131" spans="1:15" ht="60" x14ac:dyDescent="0.25">
      <c r="A131" s="19" t="s">
        <v>2808</v>
      </c>
      <c r="B131" s="17" t="s">
        <v>2807</v>
      </c>
      <c r="C131" s="20">
        <v>1</v>
      </c>
      <c r="D131" s="18">
        <v>79.5</v>
      </c>
      <c r="E131" s="18">
        <v>79.5</v>
      </c>
      <c r="F131" s="20" t="s">
        <v>1244</v>
      </c>
      <c r="G131" s="17" t="s">
        <v>91</v>
      </c>
      <c r="H131" s="19" t="s">
        <v>74</v>
      </c>
      <c r="I131" s="18">
        <v>16.013333333333335</v>
      </c>
      <c r="J131" s="17" t="s">
        <v>106</v>
      </c>
      <c r="K131" s="17" t="s">
        <v>105</v>
      </c>
      <c r="L131" s="17"/>
      <c r="M131" s="17"/>
      <c r="N131" s="16" t="str">
        <f>HYPERLINK("http://slimages.macys.com/is/image/MCY/20125785 ")</f>
        <v xml:space="preserve">http://slimages.macys.com/is/image/MCY/20125785 </v>
      </c>
      <c r="O131" s="37"/>
    </row>
    <row r="132" spans="1:15" ht="60" x14ac:dyDescent="0.25">
      <c r="A132" s="19" t="s">
        <v>2806</v>
      </c>
      <c r="B132" s="17" t="s">
        <v>2805</v>
      </c>
      <c r="C132" s="20">
        <v>1</v>
      </c>
      <c r="D132" s="18">
        <v>79.5</v>
      </c>
      <c r="E132" s="18">
        <v>79.5</v>
      </c>
      <c r="F132" s="20" t="s">
        <v>1244</v>
      </c>
      <c r="G132" s="17" t="s">
        <v>91</v>
      </c>
      <c r="H132" s="19" t="s">
        <v>197</v>
      </c>
      <c r="I132" s="18">
        <v>16.013333333333335</v>
      </c>
      <c r="J132" s="17" t="s">
        <v>106</v>
      </c>
      <c r="K132" s="17" t="s">
        <v>105</v>
      </c>
      <c r="L132" s="17"/>
      <c r="M132" s="17"/>
      <c r="N132" s="16" t="str">
        <f>HYPERLINK("http://slimages.macys.com/is/image/MCY/20125785 ")</f>
        <v xml:space="preserve">http://slimages.macys.com/is/image/MCY/20125785 </v>
      </c>
      <c r="O132" s="37"/>
    </row>
    <row r="133" spans="1:15" ht="60" x14ac:dyDescent="0.25">
      <c r="A133" s="19" t="s">
        <v>2804</v>
      </c>
      <c r="B133" s="17" t="s">
        <v>2803</v>
      </c>
      <c r="C133" s="20">
        <v>1</v>
      </c>
      <c r="D133" s="18">
        <v>79.5</v>
      </c>
      <c r="E133" s="18">
        <v>79.5</v>
      </c>
      <c r="F133" s="20" t="s">
        <v>2802</v>
      </c>
      <c r="G133" s="17" t="s">
        <v>51</v>
      </c>
      <c r="H133" s="19" t="s">
        <v>62</v>
      </c>
      <c r="I133" s="18">
        <v>16.013333333333335</v>
      </c>
      <c r="J133" s="17" t="s">
        <v>106</v>
      </c>
      <c r="K133" s="17" t="s">
        <v>105</v>
      </c>
      <c r="L133" s="17"/>
      <c r="M133" s="17"/>
      <c r="N133" s="16" t="str">
        <f>HYPERLINK("http://slimages.macys.com/is/image/MCY/19027051 ")</f>
        <v xml:space="preserve">http://slimages.macys.com/is/image/MCY/19027051 </v>
      </c>
      <c r="O133" s="37"/>
    </row>
    <row r="134" spans="1:15" ht="60" x14ac:dyDescent="0.25">
      <c r="A134" s="19" t="s">
        <v>2801</v>
      </c>
      <c r="B134" s="17" t="s">
        <v>2800</v>
      </c>
      <c r="C134" s="20">
        <v>1</v>
      </c>
      <c r="D134" s="18">
        <v>79.5</v>
      </c>
      <c r="E134" s="18">
        <v>79.5</v>
      </c>
      <c r="F134" s="20" t="s">
        <v>2799</v>
      </c>
      <c r="G134" s="17" t="s">
        <v>1382</v>
      </c>
      <c r="H134" s="19" t="s">
        <v>62</v>
      </c>
      <c r="I134" s="18">
        <v>16.013333333333335</v>
      </c>
      <c r="J134" s="17" t="s">
        <v>106</v>
      </c>
      <c r="K134" s="17" t="s">
        <v>105</v>
      </c>
      <c r="L134" s="17"/>
      <c r="M134" s="17"/>
      <c r="N134" s="16" t="str">
        <f>HYPERLINK("http://slimages.macys.com/is/image/MCY/19911009 ")</f>
        <v xml:space="preserve">http://slimages.macys.com/is/image/MCY/19911009 </v>
      </c>
      <c r="O134" s="37"/>
    </row>
    <row r="135" spans="1:15" ht="60" x14ac:dyDescent="0.25">
      <c r="A135" s="19" t="s">
        <v>1246</v>
      </c>
      <c r="B135" s="17" t="s">
        <v>1245</v>
      </c>
      <c r="C135" s="20">
        <v>3</v>
      </c>
      <c r="D135" s="18">
        <v>79.5</v>
      </c>
      <c r="E135" s="18">
        <v>238.5</v>
      </c>
      <c r="F135" s="20" t="s">
        <v>1244</v>
      </c>
      <c r="G135" s="17" t="s">
        <v>91</v>
      </c>
      <c r="H135" s="19" t="s">
        <v>62</v>
      </c>
      <c r="I135" s="18">
        <v>16.013333333333335</v>
      </c>
      <c r="J135" s="17" t="s">
        <v>106</v>
      </c>
      <c r="K135" s="17" t="s">
        <v>105</v>
      </c>
      <c r="L135" s="17"/>
      <c r="M135" s="17"/>
      <c r="N135" s="16" t="str">
        <f>HYPERLINK("http://slimages.macys.com/is/image/MCY/20125785 ")</f>
        <v xml:space="preserve">http://slimages.macys.com/is/image/MCY/20125785 </v>
      </c>
      <c r="O135" s="37"/>
    </row>
    <row r="136" spans="1:15" ht="60" x14ac:dyDescent="0.25">
      <c r="A136" s="19" t="s">
        <v>2798</v>
      </c>
      <c r="B136" s="17" t="s">
        <v>2797</v>
      </c>
      <c r="C136" s="20">
        <v>1</v>
      </c>
      <c r="D136" s="18">
        <v>79.5</v>
      </c>
      <c r="E136" s="18">
        <v>79.5</v>
      </c>
      <c r="F136" s="20" t="s">
        <v>572</v>
      </c>
      <c r="G136" s="17" t="s">
        <v>35</v>
      </c>
      <c r="H136" s="19" t="s">
        <v>74</v>
      </c>
      <c r="I136" s="18">
        <v>16.013333333333335</v>
      </c>
      <c r="J136" s="17" t="s">
        <v>106</v>
      </c>
      <c r="K136" s="17" t="s">
        <v>105</v>
      </c>
      <c r="L136" s="17"/>
      <c r="M136" s="17"/>
      <c r="N136" s="16" t="str">
        <f>HYPERLINK("http://slimages.macys.com/is/image/MCY/18684176 ")</f>
        <v xml:space="preserve">http://slimages.macys.com/is/image/MCY/18684176 </v>
      </c>
      <c r="O136" s="37"/>
    </row>
    <row r="137" spans="1:15" ht="60" x14ac:dyDescent="0.25">
      <c r="A137" s="19" t="s">
        <v>2796</v>
      </c>
      <c r="B137" s="17" t="s">
        <v>2795</v>
      </c>
      <c r="C137" s="20">
        <v>1</v>
      </c>
      <c r="D137" s="18">
        <v>79.5</v>
      </c>
      <c r="E137" s="18">
        <v>79.5</v>
      </c>
      <c r="F137" s="20" t="s">
        <v>2794</v>
      </c>
      <c r="G137" s="17" t="s">
        <v>330</v>
      </c>
      <c r="H137" s="19" t="s">
        <v>74</v>
      </c>
      <c r="I137" s="18">
        <v>16.013333333333335</v>
      </c>
      <c r="J137" s="17" t="s">
        <v>106</v>
      </c>
      <c r="K137" s="17" t="s">
        <v>105</v>
      </c>
      <c r="L137" s="17"/>
      <c r="M137" s="17"/>
      <c r="N137" s="16" t="str">
        <f>HYPERLINK("http://slimages.macys.com/is/image/MCY/19900271 ")</f>
        <v xml:space="preserve">http://slimages.macys.com/is/image/MCY/19900271 </v>
      </c>
      <c r="O137" s="37"/>
    </row>
    <row r="138" spans="1:15" ht="60" x14ac:dyDescent="0.25">
      <c r="A138" s="19" t="s">
        <v>1248</v>
      </c>
      <c r="B138" s="17" t="s">
        <v>1247</v>
      </c>
      <c r="C138" s="20">
        <v>1</v>
      </c>
      <c r="D138" s="18">
        <v>79.5</v>
      </c>
      <c r="E138" s="18">
        <v>79.5</v>
      </c>
      <c r="F138" s="20" t="s">
        <v>1244</v>
      </c>
      <c r="G138" s="17" t="s">
        <v>91</v>
      </c>
      <c r="H138" s="19" t="s">
        <v>69</v>
      </c>
      <c r="I138" s="18">
        <v>16.013333333333335</v>
      </c>
      <c r="J138" s="17" t="s">
        <v>106</v>
      </c>
      <c r="K138" s="17" t="s">
        <v>105</v>
      </c>
      <c r="L138" s="17"/>
      <c r="M138" s="17"/>
      <c r="N138" s="16" t="str">
        <f>HYPERLINK("http://slimages.macys.com/is/image/MCY/20125785 ")</f>
        <v xml:space="preserve">http://slimages.macys.com/is/image/MCY/20125785 </v>
      </c>
      <c r="O138" s="37"/>
    </row>
    <row r="139" spans="1:15" ht="48" x14ac:dyDescent="0.25">
      <c r="A139" s="19" t="s">
        <v>2793</v>
      </c>
      <c r="B139" s="17" t="s">
        <v>2792</v>
      </c>
      <c r="C139" s="20">
        <v>1</v>
      </c>
      <c r="D139" s="18">
        <v>75</v>
      </c>
      <c r="E139" s="18">
        <v>75</v>
      </c>
      <c r="F139" s="20" t="s">
        <v>1241</v>
      </c>
      <c r="G139" s="17" t="s">
        <v>91</v>
      </c>
      <c r="H139" s="19" t="s">
        <v>69</v>
      </c>
      <c r="I139" s="18">
        <v>16</v>
      </c>
      <c r="J139" s="17" t="s">
        <v>80</v>
      </c>
      <c r="K139" s="17" t="s">
        <v>531</v>
      </c>
      <c r="L139" s="17"/>
      <c r="M139" s="17"/>
      <c r="N139" s="16" t="str">
        <f>HYPERLINK("http://slimages.macys.com/is/image/MCY/18269796 ")</f>
        <v xml:space="preserve">http://slimages.macys.com/is/image/MCY/18269796 </v>
      </c>
      <c r="O139" s="37"/>
    </row>
    <row r="140" spans="1:15" ht="36" x14ac:dyDescent="0.25">
      <c r="A140" s="19" t="s">
        <v>2791</v>
      </c>
      <c r="B140" s="17" t="s">
        <v>2790</v>
      </c>
      <c r="C140" s="20">
        <v>1</v>
      </c>
      <c r="D140" s="18">
        <v>79</v>
      </c>
      <c r="E140" s="18">
        <v>79</v>
      </c>
      <c r="F140" s="20">
        <v>10817006</v>
      </c>
      <c r="G140" s="17" t="s">
        <v>51</v>
      </c>
      <c r="H140" s="19" t="s">
        <v>271</v>
      </c>
      <c r="I140" s="18">
        <v>15.8</v>
      </c>
      <c r="J140" s="17" t="s">
        <v>358</v>
      </c>
      <c r="K140" s="17" t="s">
        <v>554</v>
      </c>
      <c r="L140" s="17"/>
      <c r="M140" s="17"/>
      <c r="N140" s="16" t="str">
        <f>HYPERLINK("http://slimages.macys.com/is/image/MCY/19382263 ")</f>
        <v xml:space="preserve">http://slimages.macys.com/is/image/MCY/19382263 </v>
      </c>
      <c r="O140" s="37"/>
    </row>
    <row r="141" spans="1:15" ht="36" x14ac:dyDescent="0.25">
      <c r="A141" s="19" t="s">
        <v>2789</v>
      </c>
      <c r="B141" s="17" t="s">
        <v>2788</v>
      </c>
      <c r="C141" s="20">
        <v>1</v>
      </c>
      <c r="D141" s="18">
        <v>79</v>
      </c>
      <c r="E141" s="18">
        <v>79</v>
      </c>
      <c r="F141" s="20">
        <v>10817006</v>
      </c>
      <c r="G141" s="17" t="s">
        <v>51</v>
      </c>
      <c r="H141" s="19" t="s">
        <v>139</v>
      </c>
      <c r="I141" s="18">
        <v>15.8</v>
      </c>
      <c r="J141" s="17" t="s">
        <v>358</v>
      </c>
      <c r="K141" s="17" t="s">
        <v>554</v>
      </c>
      <c r="L141" s="17"/>
      <c r="M141" s="17"/>
      <c r="N141" s="16" t="str">
        <f>HYPERLINK("http://slimages.macys.com/is/image/MCY/19382263 ")</f>
        <v xml:space="preserve">http://slimages.macys.com/is/image/MCY/19382263 </v>
      </c>
      <c r="O141" s="37"/>
    </row>
    <row r="142" spans="1:15" ht="36" x14ac:dyDescent="0.25">
      <c r="A142" s="19" t="s">
        <v>2787</v>
      </c>
      <c r="B142" s="17" t="s">
        <v>2786</v>
      </c>
      <c r="C142" s="20">
        <v>2</v>
      </c>
      <c r="D142" s="18">
        <v>79</v>
      </c>
      <c r="E142" s="18">
        <v>158</v>
      </c>
      <c r="F142" s="20">
        <v>10817006</v>
      </c>
      <c r="G142" s="17" t="s">
        <v>51</v>
      </c>
      <c r="H142" s="19" t="s">
        <v>351</v>
      </c>
      <c r="I142" s="18">
        <v>15.8</v>
      </c>
      <c r="J142" s="17" t="s">
        <v>358</v>
      </c>
      <c r="K142" s="17" t="s">
        <v>554</v>
      </c>
      <c r="L142" s="17"/>
      <c r="M142" s="17"/>
      <c r="N142" s="16" t="str">
        <f>HYPERLINK("http://slimages.macys.com/is/image/MCY/19382263 ")</f>
        <v xml:space="preserve">http://slimages.macys.com/is/image/MCY/19382263 </v>
      </c>
      <c r="O142" s="37"/>
    </row>
    <row r="143" spans="1:15" ht="48" x14ac:dyDescent="0.25">
      <c r="A143" s="19" t="s">
        <v>2785</v>
      </c>
      <c r="B143" s="17" t="s">
        <v>2784</v>
      </c>
      <c r="C143" s="20">
        <v>1</v>
      </c>
      <c r="D143" s="18">
        <v>79</v>
      </c>
      <c r="E143" s="18">
        <v>79</v>
      </c>
      <c r="F143" s="20" t="s">
        <v>1983</v>
      </c>
      <c r="G143" s="17" t="s">
        <v>58</v>
      </c>
      <c r="H143" s="19" t="s">
        <v>57</v>
      </c>
      <c r="I143" s="18">
        <v>15.486666666666666</v>
      </c>
      <c r="J143" s="17" t="s">
        <v>492</v>
      </c>
      <c r="K143" s="17" t="s">
        <v>491</v>
      </c>
      <c r="L143" s="17"/>
      <c r="M143" s="17"/>
      <c r="N143" s="16" t="str">
        <f>HYPERLINK("http://slimages.macys.com/is/image/MCY/18188032 ")</f>
        <v xml:space="preserve">http://slimages.macys.com/is/image/MCY/18188032 </v>
      </c>
      <c r="O143" s="37"/>
    </row>
    <row r="144" spans="1:15" ht="60" x14ac:dyDescent="0.25">
      <c r="A144" s="19" t="s">
        <v>2783</v>
      </c>
      <c r="B144" s="17" t="s">
        <v>2782</v>
      </c>
      <c r="C144" s="20">
        <v>6</v>
      </c>
      <c r="D144" s="18">
        <v>68</v>
      </c>
      <c r="E144" s="18">
        <v>408</v>
      </c>
      <c r="F144" s="20" t="s">
        <v>1224</v>
      </c>
      <c r="G144" s="17" t="s">
        <v>58</v>
      </c>
      <c r="H144" s="19" t="s">
        <v>57</v>
      </c>
      <c r="I144" s="18">
        <v>15.333333333333332</v>
      </c>
      <c r="J144" s="17" t="s">
        <v>133</v>
      </c>
      <c r="K144" s="17" t="s">
        <v>833</v>
      </c>
      <c r="L144" s="17"/>
      <c r="M144" s="17"/>
      <c r="N144" s="16" t="str">
        <f>HYPERLINK("http://slimages.macys.com/is/image/MCY/19305903 ")</f>
        <v xml:space="preserve">http://slimages.macys.com/is/image/MCY/19305903 </v>
      </c>
      <c r="O144" s="37"/>
    </row>
    <row r="145" spans="1:15" ht="48" x14ac:dyDescent="0.25">
      <c r="A145" s="19" t="s">
        <v>2781</v>
      </c>
      <c r="B145" s="17" t="s">
        <v>2780</v>
      </c>
      <c r="C145" s="20">
        <v>1</v>
      </c>
      <c r="D145" s="18">
        <v>69</v>
      </c>
      <c r="E145" s="18">
        <v>69</v>
      </c>
      <c r="F145" s="20" t="s">
        <v>2779</v>
      </c>
      <c r="G145" s="17" t="s">
        <v>28</v>
      </c>
      <c r="H145" s="19" t="s">
        <v>17</v>
      </c>
      <c r="I145" s="18">
        <v>15.226666666666667</v>
      </c>
      <c r="J145" s="17" t="s">
        <v>49</v>
      </c>
      <c r="K145" s="17" t="s">
        <v>48</v>
      </c>
      <c r="L145" s="17"/>
      <c r="M145" s="17"/>
      <c r="N145" s="16" t="str">
        <f>HYPERLINK("http://slimages.macys.com/is/image/MCY/19410907 ")</f>
        <v xml:space="preserve">http://slimages.macys.com/is/image/MCY/19410907 </v>
      </c>
      <c r="O145" s="37"/>
    </row>
    <row r="146" spans="1:15" ht="60" x14ac:dyDescent="0.25">
      <c r="A146" s="19" t="s">
        <v>2778</v>
      </c>
      <c r="B146" s="17" t="s">
        <v>2777</v>
      </c>
      <c r="C146" s="20">
        <v>1</v>
      </c>
      <c r="D146" s="18">
        <v>69</v>
      </c>
      <c r="E146" s="18">
        <v>69</v>
      </c>
      <c r="F146" s="20" t="s">
        <v>2776</v>
      </c>
      <c r="G146" s="17" t="s">
        <v>85</v>
      </c>
      <c r="H146" s="19" t="s">
        <v>17</v>
      </c>
      <c r="I146" s="18">
        <v>15.226666666666667</v>
      </c>
      <c r="J146" s="17" t="s">
        <v>49</v>
      </c>
      <c r="K146" s="17" t="s">
        <v>48</v>
      </c>
      <c r="L146" s="17"/>
      <c r="M146" s="17"/>
      <c r="N146" s="16" t="str">
        <f>HYPERLINK("http://slimages.macys.com/is/image/MCY/18773933 ")</f>
        <v xml:space="preserve">http://slimages.macys.com/is/image/MCY/18773933 </v>
      </c>
      <c r="O146" s="37"/>
    </row>
    <row r="147" spans="1:15" ht="60" x14ac:dyDescent="0.25">
      <c r="A147" s="19" t="s">
        <v>2775</v>
      </c>
      <c r="B147" s="17" t="s">
        <v>2774</v>
      </c>
      <c r="C147" s="20">
        <v>1</v>
      </c>
      <c r="D147" s="18">
        <v>79.5</v>
      </c>
      <c r="E147" s="18">
        <v>79.5</v>
      </c>
      <c r="F147" s="20" t="s">
        <v>1218</v>
      </c>
      <c r="G147" s="17" t="s">
        <v>216</v>
      </c>
      <c r="H147" s="19" t="s">
        <v>898</v>
      </c>
      <c r="I147" s="18">
        <v>14.973333333333334</v>
      </c>
      <c r="J147" s="17" t="s">
        <v>68</v>
      </c>
      <c r="K147" s="17" t="s">
        <v>67</v>
      </c>
      <c r="L147" s="17"/>
      <c r="M147" s="17"/>
      <c r="N147" s="16" t="str">
        <f>HYPERLINK("http://slimages.macys.com/is/image/MCY/18071860 ")</f>
        <v xml:space="preserve">http://slimages.macys.com/is/image/MCY/18071860 </v>
      </c>
      <c r="O147" s="37"/>
    </row>
    <row r="148" spans="1:15" ht="48" x14ac:dyDescent="0.25">
      <c r="A148" s="19" t="s">
        <v>2773</v>
      </c>
      <c r="B148" s="17" t="s">
        <v>2772</v>
      </c>
      <c r="C148" s="20">
        <v>1</v>
      </c>
      <c r="D148" s="18">
        <v>59.25</v>
      </c>
      <c r="E148" s="18">
        <v>59.25</v>
      </c>
      <c r="F148" s="20">
        <v>10756042</v>
      </c>
      <c r="G148" s="17" t="s">
        <v>433</v>
      </c>
      <c r="H148" s="19" t="s">
        <v>139</v>
      </c>
      <c r="I148" s="18">
        <v>14.933333333333335</v>
      </c>
      <c r="J148" s="17" t="s">
        <v>358</v>
      </c>
      <c r="K148" s="17" t="s">
        <v>143</v>
      </c>
      <c r="L148" s="17"/>
      <c r="M148" s="17"/>
      <c r="N148" s="16" t="str">
        <f>HYPERLINK("http://slimages.macys.com/is/image/MCY/16690392 ")</f>
        <v xml:space="preserve">http://slimages.macys.com/is/image/MCY/16690392 </v>
      </c>
      <c r="O148" s="37"/>
    </row>
    <row r="149" spans="1:15" ht="48" x14ac:dyDescent="0.25">
      <c r="A149" s="19" t="s">
        <v>2771</v>
      </c>
      <c r="B149" s="17" t="s">
        <v>2770</v>
      </c>
      <c r="C149" s="20">
        <v>1</v>
      </c>
      <c r="D149" s="18">
        <v>99</v>
      </c>
      <c r="E149" s="18">
        <v>99</v>
      </c>
      <c r="F149" s="20">
        <v>8131903</v>
      </c>
      <c r="G149" s="17" t="s">
        <v>91</v>
      </c>
      <c r="H149" s="19" t="s">
        <v>17</v>
      </c>
      <c r="I149" s="18">
        <v>14.833333333333334</v>
      </c>
      <c r="J149" s="17" t="s">
        <v>129</v>
      </c>
      <c r="K149" s="17" t="s">
        <v>128</v>
      </c>
      <c r="L149" s="17"/>
      <c r="M149" s="17"/>
      <c r="N149" s="16" t="str">
        <f>HYPERLINK("http://slimages.macys.com/is/image/MCY/19523801 ")</f>
        <v xml:space="preserve">http://slimages.macys.com/is/image/MCY/19523801 </v>
      </c>
      <c r="O149" s="37"/>
    </row>
    <row r="150" spans="1:15" ht="36" x14ac:dyDescent="0.25">
      <c r="A150" s="19" t="s">
        <v>2769</v>
      </c>
      <c r="B150" s="17" t="s">
        <v>2768</v>
      </c>
      <c r="C150" s="20">
        <v>5</v>
      </c>
      <c r="D150" s="18">
        <v>89</v>
      </c>
      <c r="E150" s="18">
        <v>445</v>
      </c>
      <c r="F150" s="20">
        <v>7020309</v>
      </c>
      <c r="G150" s="17" t="s">
        <v>91</v>
      </c>
      <c r="H150" s="19" t="s">
        <v>682</v>
      </c>
      <c r="I150" s="18">
        <v>14.833333333333334</v>
      </c>
      <c r="J150" s="17" t="s">
        <v>111</v>
      </c>
      <c r="K150" s="17" t="s">
        <v>110</v>
      </c>
      <c r="L150" s="17"/>
      <c r="M150" s="17"/>
      <c r="N150" s="16" t="str">
        <f>HYPERLINK("http://slimages.macys.com/is/image/MCY/16687760 ")</f>
        <v xml:space="preserve">http://slimages.macys.com/is/image/MCY/16687760 </v>
      </c>
      <c r="O150" s="37"/>
    </row>
    <row r="151" spans="1:15" ht="48" x14ac:dyDescent="0.25">
      <c r="A151" s="19" t="s">
        <v>2767</v>
      </c>
      <c r="B151" s="17" t="s">
        <v>2766</v>
      </c>
      <c r="C151" s="20">
        <v>1</v>
      </c>
      <c r="D151" s="18">
        <v>89</v>
      </c>
      <c r="E151" s="18">
        <v>89</v>
      </c>
      <c r="F151" s="20" t="s">
        <v>2765</v>
      </c>
      <c r="G151" s="17" t="s">
        <v>413</v>
      </c>
      <c r="H151" s="19" t="s">
        <v>50</v>
      </c>
      <c r="I151" s="18">
        <v>14.833333333333334</v>
      </c>
      <c r="J151" s="17" t="s">
        <v>129</v>
      </c>
      <c r="K151" s="17" t="s">
        <v>128</v>
      </c>
      <c r="L151" s="17"/>
      <c r="M151" s="17"/>
      <c r="N151" s="16" t="str">
        <f>HYPERLINK("http://slimages.macys.com/is/image/MCY/19114691 ")</f>
        <v xml:space="preserve">http://slimages.macys.com/is/image/MCY/19114691 </v>
      </c>
      <c r="O151" s="37"/>
    </row>
    <row r="152" spans="1:15" ht="36" x14ac:dyDescent="0.25">
      <c r="A152" s="19" t="s">
        <v>2764</v>
      </c>
      <c r="B152" s="17" t="s">
        <v>2763</v>
      </c>
      <c r="C152" s="20">
        <v>1</v>
      </c>
      <c r="D152" s="18">
        <v>69</v>
      </c>
      <c r="E152" s="18">
        <v>69</v>
      </c>
      <c r="F152" s="20">
        <v>7060008</v>
      </c>
      <c r="G152" s="17" t="s">
        <v>91</v>
      </c>
      <c r="H152" s="19" t="s">
        <v>62</v>
      </c>
      <c r="I152" s="18">
        <v>14.720000000000002</v>
      </c>
      <c r="J152" s="17" t="s">
        <v>111</v>
      </c>
      <c r="K152" s="17" t="s">
        <v>110</v>
      </c>
      <c r="L152" s="17"/>
      <c r="M152" s="17"/>
      <c r="N152" s="16" t="str">
        <f>HYPERLINK("http://slimages.macys.com/is/image/MCY/18333173 ")</f>
        <v xml:space="preserve">http://slimages.macys.com/is/image/MCY/18333173 </v>
      </c>
      <c r="O152" s="37"/>
    </row>
    <row r="153" spans="1:15" ht="48" x14ac:dyDescent="0.25">
      <c r="A153" s="19" t="s">
        <v>1203</v>
      </c>
      <c r="B153" s="17" t="s">
        <v>1202</v>
      </c>
      <c r="C153" s="20">
        <v>1</v>
      </c>
      <c r="D153" s="18">
        <v>65</v>
      </c>
      <c r="E153" s="18">
        <v>65</v>
      </c>
      <c r="F153" s="20" t="s">
        <v>1199</v>
      </c>
      <c r="G153" s="17" t="s">
        <v>28</v>
      </c>
      <c r="H153" s="19" t="s">
        <v>69</v>
      </c>
      <c r="I153" s="18">
        <v>14.666666666666668</v>
      </c>
      <c r="J153" s="17" t="s">
        <v>133</v>
      </c>
      <c r="K153" s="17" t="s">
        <v>833</v>
      </c>
      <c r="L153" s="17"/>
      <c r="M153" s="17"/>
      <c r="N153" s="16" t="str">
        <f>HYPERLINK("http://slimages.macys.com/is/image/MCY/19305730 ")</f>
        <v xml:space="preserve">http://slimages.macys.com/is/image/MCY/19305730 </v>
      </c>
      <c r="O153" s="37"/>
    </row>
    <row r="154" spans="1:15" ht="60" x14ac:dyDescent="0.25">
      <c r="A154" s="19" t="s">
        <v>1206</v>
      </c>
      <c r="B154" s="17" t="s">
        <v>1205</v>
      </c>
      <c r="C154" s="20">
        <v>3</v>
      </c>
      <c r="D154" s="18">
        <v>65</v>
      </c>
      <c r="E154" s="18">
        <v>195</v>
      </c>
      <c r="F154" s="20" t="s">
        <v>1204</v>
      </c>
      <c r="G154" s="17" t="s">
        <v>206</v>
      </c>
      <c r="H154" s="19" t="s">
        <v>74</v>
      </c>
      <c r="I154" s="18">
        <v>14.666666666666668</v>
      </c>
      <c r="J154" s="17" t="s">
        <v>133</v>
      </c>
      <c r="K154" s="17" t="s">
        <v>833</v>
      </c>
      <c r="L154" s="17"/>
      <c r="M154" s="17"/>
      <c r="N154" s="16" t="str">
        <f>HYPERLINK("http://slimages.macys.com/is/image/MCY/19305671 ")</f>
        <v xml:space="preserve">http://slimages.macys.com/is/image/MCY/19305671 </v>
      </c>
      <c r="O154" s="37"/>
    </row>
    <row r="155" spans="1:15" ht="48" x14ac:dyDescent="0.25">
      <c r="A155" s="19" t="s">
        <v>1208</v>
      </c>
      <c r="B155" s="17" t="s">
        <v>1207</v>
      </c>
      <c r="C155" s="20">
        <v>2</v>
      </c>
      <c r="D155" s="18">
        <v>65</v>
      </c>
      <c r="E155" s="18">
        <v>130</v>
      </c>
      <c r="F155" s="20" t="s">
        <v>1199</v>
      </c>
      <c r="G155" s="17" t="s">
        <v>28</v>
      </c>
      <c r="H155" s="19" t="s">
        <v>62</v>
      </c>
      <c r="I155" s="18">
        <v>14.666666666666668</v>
      </c>
      <c r="J155" s="17" t="s">
        <v>133</v>
      </c>
      <c r="K155" s="17" t="s">
        <v>833</v>
      </c>
      <c r="L155" s="17"/>
      <c r="M155" s="17"/>
      <c r="N155" s="16" t="str">
        <f>HYPERLINK("http://slimages.macys.com/is/image/MCY/19305730 ")</f>
        <v xml:space="preserve">http://slimages.macys.com/is/image/MCY/19305730 </v>
      </c>
      <c r="O155" s="37"/>
    </row>
    <row r="156" spans="1:15" ht="60" x14ac:dyDescent="0.25">
      <c r="A156" s="19" t="s">
        <v>2762</v>
      </c>
      <c r="B156" s="17" t="s">
        <v>2761</v>
      </c>
      <c r="C156" s="20">
        <v>5</v>
      </c>
      <c r="D156" s="18">
        <v>65</v>
      </c>
      <c r="E156" s="18">
        <v>325</v>
      </c>
      <c r="F156" s="20" t="s">
        <v>1204</v>
      </c>
      <c r="G156" s="17" t="s">
        <v>206</v>
      </c>
      <c r="H156" s="19" t="s">
        <v>62</v>
      </c>
      <c r="I156" s="18">
        <v>14.666666666666668</v>
      </c>
      <c r="J156" s="17" t="s">
        <v>133</v>
      </c>
      <c r="K156" s="17" t="s">
        <v>833</v>
      </c>
      <c r="L156" s="17"/>
      <c r="M156" s="17"/>
      <c r="N156" s="16" t="str">
        <f>HYPERLINK("http://slimages.macys.com/is/image/MCY/19305671 ")</f>
        <v xml:space="preserve">http://slimages.macys.com/is/image/MCY/19305671 </v>
      </c>
      <c r="O156" s="37"/>
    </row>
    <row r="157" spans="1:15" ht="60" x14ac:dyDescent="0.25">
      <c r="A157" s="19" t="s">
        <v>2760</v>
      </c>
      <c r="B157" s="17" t="s">
        <v>2759</v>
      </c>
      <c r="C157" s="20">
        <v>6</v>
      </c>
      <c r="D157" s="18">
        <v>65</v>
      </c>
      <c r="E157" s="18">
        <v>390</v>
      </c>
      <c r="F157" s="20" t="s">
        <v>1204</v>
      </c>
      <c r="G157" s="17" t="s">
        <v>206</v>
      </c>
      <c r="H157" s="19" t="s">
        <v>69</v>
      </c>
      <c r="I157" s="18">
        <v>14.666666666666668</v>
      </c>
      <c r="J157" s="17" t="s">
        <v>133</v>
      </c>
      <c r="K157" s="17" t="s">
        <v>833</v>
      </c>
      <c r="L157" s="17"/>
      <c r="M157" s="17"/>
      <c r="N157" s="16" t="str">
        <f>HYPERLINK("http://slimages.macys.com/is/image/MCY/19305671 ")</f>
        <v xml:space="preserve">http://slimages.macys.com/is/image/MCY/19305671 </v>
      </c>
      <c r="O157" s="37"/>
    </row>
    <row r="158" spans="1:15" ht="48" x14ac:dyDescent="0.25">
      <c r="A158" s="19" t="s">
        <v>2758</v>
      </c>
      <c r="B158" s="17" t="s">
        <v>2757</v>
      </c>
      <c r="C158" s="20">
        <v>5</v>
      </c>
      <c r="D158" s="18">
        <v>65</v>
      </c>
      <c r="E158" s="18">
        <v>325</v>
      </c>
      <c r="F158" s="20" t="s">
        <v>1199</v>
      </c>
      <c r="G158" s="17" t="s">
        <v>28</v>
      </c>
      <c r="H158" s="19" t="s">
        <v>57</v>
      </c>
      <c r="I158" s="18">
        <v>14.666666666666668</v>
      </c>
      <c r="J158" s="17" t="s">
        <v>133</v>
      </c>
      <c r="K158" s="17" t="s">
        <v>833</v>
      </c>
      <c r="L158" s="17"/>
      <c r="M158" s="17"/>
      <c r="N158" s="16" t="str">
        <f>HYPERLINK("http://slimages.macys.com/is/image/MCY/19305730 ")</f>
        <v xml:space="preserve">http://slimages.macys.com/is/image/MCY/19305730 </v>
      </c>
      <c r="O158" s="37"/>
    </row>
    <row r="159" spans="1:15" ht="60" x14ac:dyDescent="0.25">
      <c r="A159" s="19" t="s">
        <v>1950</v>
      </c>
      <c r="B159" s="17" t="s">
        <v>1949</v>
      </c>
      <c r="C159" s="20">
        <v>1</v>
      </c>
      <c r="D159" s="18">
        <v>65</v>
      </c>
      <c r="E159" s="18">
        <v>65</v>
      </c>
      <c r="F159" s="20" t="s">
        <v>1204</v>
      </c>
      <c r="G159" s="17" t="s">
        <v>206</v>
      </c>
      <c r="H159" s="19" t="s">
        <v>57</v>
      </c>
      <c r="I159" s="18">
        <v>14.666666666666668</v>
      </c>
      <c r="J159" s="17" t="s">
        <v>133</v>
      </c>
      <c r="K159" s="17" t="s">
        <v>833</v>
      </c>
      <c r="L159" s="17"/>
      <c r="M159" s="17"/>
      <c r="N159" s="16" t="str">
        <f>HYPERLINK("http://slimages.macys.com/is/image/MCY/19305671 ")</f>
        <v xml:space="preserve">http://slimages.macys.com/is/image/MCY/19305671 </v>
      </c>
      <c r="O159" s="37"/>
    </row>
    <row r="160" spans="1:15" ht="36" x14ac:dyDescent="0.25">
      <c r="A160" s="19" t="s">
        <v>2756</v>
      </c>
      <c r="B160" s="17" t="s">
        <v>2755</v>
      </c>
      <c r="C160" s="20">
        <v>1</v>
      </c>
      <c r="D160" s="18">
        <v>59.25</v>
      </c>
      <c r="E160" s="18">
        <v>59.25</v>
      </c>
      <c r="F160" s="20">
        <v>10735730</v>
      </c>
      <c r="G160" s="17" t="s">
        <v>544</v>
      </c>
      <c r="H160" s="19"/>
      <c r="I160" s="18">
        <v>14.493333333333334</v>
      </c>
      <c r="J160" s="17" t="s">
        <v>358</v>
      </c>
      <c r="K160" s="17" t="s">
        <v>143</v>
      </c>
      <c r="L160" s="17"/>
      <c r="M160" s="17"/>
      <c r="N160" s="16" t="str">
        <f>HYPERLINK("http://slimages.macys.com/is/image/MCY/19486565 ")</f>
        <v xml:space="preserve">http://slimages.macys.com/is/image/MCY/19486565 </v>
      </c>
      <c r="O160" s="37"/>
    </row>
    <row r="161" spans="1:15" ht="24" x14ac:dyDescent="0.25">
      <c r="A161" s="19" t="s">
        <v>2754</v>
      </c>
      <c r="B161" s="17" t="s">
        <v>2753</v>
      </c>
      <c r="C161" s="20">
        <v>1</v>
      </c>
      <c r="D161" s="18">
        <v>69</v>
      </c>
      <c r="E161" s="18">
        <v>69</v>
      </c>
      <c r="F161" s="20">
        <v>10763860</v>
      </c>
      <c r="G161" s="17" t="s">
        <v>23</v>
      </c>
      <c r="H161" s="19" t="s">
        <v>116</v>
      </c>
      <c r="I161" s="18">
        <v>14.26</v>
      </c>
      <c r="J161" s="17" t="s">
        <v>144</v>
      </c>
      <c r="K161" s="17" t="s">
        <v>143</v>
      </c>
      <c r="L161" s="17"/>
      <c r="M161" s="17"/>
      <c r="N161" s="16" t="str">
        <f>HYPERLINK("http://slimages.macys.com/is/image/MCY/18301576 ")</f>
        <v xml:space="preserve">http://slimages.macys.com/is/image/MCY/18301576 </v>
      </c>
      <c r="O161" s="37"/>
    </row>
    <row r="162" spans="1:15" ht="24" x14ac:dyDescent="0.25">
      <c r="A162" s="19" t="s">
        <v>2752</v>
      </c>
      <c r="B162" s="17" t="s">
        <v>2751</v>
      </c>
      <c r="C162" s="20">
        <v>1</v>
      </c>
      <c r="D162" s="18">
        <v>69</v>
      </c>
      <c r="E162" s="18">
        <v>69</v>
      </c>
      <c r="F162" s="20">
        <v>10763860</v>
      </c>
      <c r="G162" s="17" t="s">
        <v>23</v>
      </c>
      <c r="H162" s="19" t="s">
        <v>773</v>
      </c>
      <c r="I162" s="18">
        <v>14.26</v>
      </c>
      <c r="J162" s="17" t="s">
        <v>144</v>
      </c>
      <c r="K162" s="17" t="s">
        <v>143</v>
      </c>
      <c r="L162" s="17"/>
      <c r="M162" s="17"/>
      <c r="N162" s="16" t="str">
        <f>HYPERLINK("http://slimages.macys.com/is/image/MCY/18301576 ")</f>
        <v xml:space="preserve">http://slimages.macys.com/is/image/MCY/18301576 </v>
      </c>
      <c r="O162" s="37"/>
    </row>
    <row r="163" spans="1:15" ht="48" x14ac:dyDescent="0.25">
      <c r="A163" s="19" t="s">
        <v>1180</v>
      </c>
      <c r="B163" s="17" t="s">
        <v>1179</v>
      </c>
      <c r="C163" s="20">
        <v>6</v>
      </c>
      <c r="D163" s="18">
        <v>58</v>
      </c>
      <c r="E163" s="18">
        <v>348</v>
      </c>
      <c r="F163" s="20" t="s">
        <v>1178</v>
      </c>
      <c r="G163" s="17" t="s">
        <v>345</v>
      </c>
      <c r="H163" s="19" t="s">
        <v>69</v>
      </c>
      <c r="I163" s="18">
        <v>14.000000000000002</v>
      </c>
      <c r="J163" s="17" t="s">
        <v>133</v>
      </c>
      <c r="K163" s="17" t="s">
        <v>833</v>
      </c>
      <c r="L163" s="17"/>
      <c r="M163" s="17"/>
      <c r="N163" s="16" t="str">
        <f>HYPERLINK("http://slimages.macys.com/is/image/MCY/19305936 ")</f>
        <v xml:space="preserve">http://slimages.macys.com/is/image/MCY/19305936 </v>
      </c>
      <c r="O163" s="37"/>
    </row>
    <row r="164" spans="1:15" ht="48" x14ac:dyDescent="0.25">
      <c r="A164" s="19" t="s">
        <v>2750</v>
      </c>
      <c r="B164" s="17" t="s">
        <v>2749</v>
      </c>
      <c r="C164" s="20">
        <v>4</v>
      </c>
      <c r="D164" s="18">
        <v>58</v>
      </c>
      <c r="E164" s="18">
        <v>232</v>
      </c>
      <c r="F164" s="20" t="s">
        <v>1178</v>
      </c>
      <c r="G164" s="17" t="s">
        <v>345</v>
      </c>
      <c r="H164" s="19" t="s">
        <v>57</v>
      </c>
      <c r="I164" s="18">
        <v>14.000000000000002</v>
      </c>
      <c r="J164" s="17" t="s">
        <v>133</v>
      </c>
      <c r="K164" s="17" t="s">
        <v>833</v>
      </c>
      <c r="L164" s="17"/>
      <c r="M164" s="17"/>
      <c r="N164" s="16" t="str">
        <f>HYPERLINK("http://slimages.macys.com/is/image/MCY/19305936 ")</f>
        <v xml:space="preserve">http://slimages.macys.com/is/image/MCY/19305936 </v>
      </c>
      <c r="O164" s="37"/>
    </row>
    <row r="165" spans="1:15" ht="60" x14ac:dyDescent="0.25">
      <c r="A165" s="19" t="s">
        <v>2748</v>
      </c>
      <c r="B165" s="17" t="s">
        <v>2747</v>
      </c>
      <c r="C165" s="20">
        <v>9</v>
      </c>
      <c r="D165" s="18">
        <v>58</v>
      </c>
      <c r="E165" s="18">
        <v>522</v>
      </c>
      <c r="F165" s="20" t="s">
        <v>1181</v>
      </c>
      <c r="G165" s="17" t="s">
        <v>345</v>
      </c>
      <c r="H165" s="19" t="s">
        <v>62</v>
      </c>
      <c r="I165" s="18">
        <v>14.000000000000002</v>
      </c>
      <c r="J165" s="17" t="s">
        <v>133</v>
      </c>
      <c r="K165" s="17" t="s">
        <v>833</v>
      </c>
      <c r="L165" s="17"/>
      <c r="M165" s="17"/>
      <c r="N165" s="16" t="str">
        <f>HYPERLINK("http://slimages.macys.com/is/image/MCY/19305645 ")</f>
        <v xml:space="preserve">http://slimages.macys.com/is/image/MCY/19305645 </v>
      </c>
      <c r="O165" s="37"/>
    </row>
    <row r="166" spans="1:15" ht="60" x14ac:dyDescent="0.25">
      <c r="A166" s="19" t="s">
        <v>1183</v>
      </c>
      <c r="B166" s="17" t="s">
        <v>1182</v>
      </c>
      <c r="C166" s="20">
        <v>2</v>
      </c>
      <c r="D166" s="18">
        <v>58</v>
      </c>
      <c r="E166" s="18">
        <v>116</v>
      </c>
      <c r="F166" s="20" t="s">
        <v>1181</v>
      </c>
      <c r="G166" s="17" t="s">
        <v>345</v>
      </c>
      <c r="H166" s="19" t="s">
        <v>74</v>
      </c>
      <c r="I166" s="18">
        <v>14.000000000000002</v>
      </c>
      <c r="J166" s="17" t="s">
        <v>133</v>
      </c>
      <c r="K166" s="17" t="s">
        <v>833</v>
      </c>
      <c r="L166" s="17"/>
      <c r="M166" s="17"/>
      <c r="N166" s="16" t="str">
        <f>HYPERLINK("http://slimages.macys.com/is/image/MCY/19305645 ")</f>
        <v xml:space="preserve">http://slimages.macys.com/is/image/MCY/19305645 </v>
      </c>
      <c r="O166" s="37"/>
    </row>
    <row r="167" spans="1:15" ht="48" x14ac:dyDescent="0.25">
      <c r="A167" s="19" t="s">
        <v>1187</v>
      </c>
      <c r="B167" s="17" t="s">
        <v>1186</v>
      </c>
      <c r="C167" s="20">
        <v>3</v>
      </c>
      <c r="D167" s="18">
        <v>58</v>
      </c>
      <c r="E167" s="18">
        <v>174</v>
      </c>
      <c r="F167" s="20" t="s">
        <v>1178</v>
      </c>
      <c r="G167" s="17" t="s">
        <v>345</v>
      </c>
      <c r="H167" s="19" t="s">
        <v>62</v>
      </c>
      <c r="I167" s="18">
        <v>14.000000000000002</v>
      </c>
      <c r="J167" s="17" t="s">
        <v>133</v>
      </c>
      <c r="K167" s="17" t="s">
        <v>833</v>
      </c>
      <c r="L167" s="17"/>
      <c r="M167" s="17"/>
      <c r="N167" s="16" t="str">
        <f>HYPERLINK("http://slimages.macys.com/is/image/MCY/19305936 ")</f>
        <v xml:space="preserve">http://slimages.macys.com/is/image/MCY/19305936 </v>
      </c>
      <c r="O167" s="37"/>
    </row>
    <row r="168" spans="1:15" ht="48" x14ac:dyDescent="0.25">
      <c r="A168" s="19" t="s">
        <v>1185</v>
      </c>
      <c r="B168" s="17" t="s">
        <v>1184</v>
      </c>
      <c r="C168" s="20">
        <v>4</v>
      </c>
      <c r="D168" s="18">
        <v>58</v>
      </c>
      <c r="E168" s="18">
        <v>232</v>
      </c>
      <c r="F168" s="20" t="s">
        <v>1178</v>
      </c>
      <c r="G168" s="17" t="s">
        <v>345</v>
      </c>
      <c r="H168" s="19" t="s">
        <v>74</v>
      </c>
      <c r="I168" s="18">
        <v>14.000000000000002</v>
      </c>
      <c r="J168" s="17" t="s">
        <v>133</v>
      </c>
      <c r="K168" s="17" t="s">
        <v>833</v>
      </c>
      <c r="L168" s="17"/>
      <c r="M168" s="17"/>
      <c r="N168" s="16" t="str">
        <f>HYPERLINK("http://slimages.macys.com/is/image/MCY/19305936 ")</f>
        <v xml:space="preserve">http://slimages.macys.com/is/image/MCY/19305936 </v>
      </c>
      <c r="O168" s="37"/>
    </row>
    <row r="169" spans="1:15" ht="48" x14ac:dyDescent="0.25">
      <c r="A169" s="19" t="s">
        <v>2746</v>
      </c>
      <c r="B169" s="17" t="s">
        <v>2745</v>
      </c>
      <c r="C169" s="20">
        <v>1</v>
      </c>
      <c r="D169" s="18">
        <v>69</v>
      </c>
      <c r="E169" s="18">
        <v>69</v>
      </c>
      <c r="F169" s="20" t="s">
        <v>2744</v>
      </c>
      <c r="G169" s="17" t="s">
        <v>51</v>
      </c>
      <c r="H169" s="19" t="s">
        <v>197</v>
      </c>
      <c r="I169" s="18">
        <v>13.799999999999999</v>
      </c>
      <c r="J169" s="17" t="s">
        <v>144</v>
      </c>
      <c r="K169" s="17" t="s">
        <v>496</v>
      </c>
      <c r="L169" s="17"/>
      <c r="M169" s="17"/>
      <c r="N169" s="16" t="str">
        <f>HYPERLINK("http://slimages.macys.com/is/image/MCY/18850140 ")</f>
        <v xml:space="preserve">http://slimages.macys.com/is/image/MCY/18850140 </v>
      </c>
      <c r="O169" s="37"/>
    </row>
    <row r="170" spans="1:15" ht="36" x14ac:dyDescent="0.25">
      <c r="A170" s="19" t="s">
        <v>2743</v>
      </c>
      <c r="B170" s="17" t="s">
        <v>2742</v>
      </c>
      <c r="C170" s="20">
        <v>1</v>
      </c>
      <c r="D170" s="18">
        <v>58</v>
      </c>
      <c r="E170" s="18">
        <v>58</v>
      </c>
      <c r="F170" s="20" t="s">
        <v>1173</v>
      </c>
      <c r="G170" s="17" t="s">
        <v>734</v>
      </c>
      <c r="H170" s="19" t="s">
        <v>69</v>
      </c>
      <c r="I170" s="18">
        <v>13.799999999999999</v>
      </c>
      <c r="J170" s="17" t="s">
        <v>133</v>
      </c>
      <c r="K170" s="17" t="s">
        <v>132</v>
      </c>
      <c r="L170" s="17"/>
      <c r="M170" s="17"/>
      <c r="N170" s="16" t="str">
        <f>HYPERLINK("http://slimages.macys.com/is/image/MCY/19367257 ")</f>
        <v xml:space="preserve">http://slimages.macys.com/is/image/MCY/19367257 </v>
      </c>
      <c r="O170" s="37"/>
    </row>
    <row r="171" spans="1:15" ht="48" x14ac:dyDescent="0.25">
      <c r="A171" s="19" t="s">
        <v>2741</v>
      </c>
      <c r="B171" s="17" t="s">
        <v>2740</v>
      </c>
      <c r="C171" s="20">
        <v>1</v>
      </c>
      <c r="D171" s="18">
        <v>89</v>
      </c>
      <c r="E171" s="18">
        <v>89</v>
      </c>
      <c r="F171" s="20">
        <v>2321710</v>
      </c>
      <c r="G171" s="17" t="s">
        <v>91</v>
      </c>
      <c r="H171" s="19" t="s">
        <v>17</v>
      </c>
      <c r="I171" s="18">
        <v>13.666666666666666</v>
      </c>
      <c r="J171" s="17" t="s">
        <v>80</v>
      </c>
      <c r="K171" s="17" t="s">
        <v>293</v>
      </c>
      <c r="L171" s="17"/>
      <c r="M171" s="17"/>
      <c r="N171" s="16" t="str">
        <f>HYPERLINK("http://slimages.macys.com/is/image/MCY/18947567 ")</f>
        <v xml:space="preserve">http://slimages.macys.com/is/image/MCY/18947567 </v>
      </c>
      <c r="O171" s="37"/>
    </row>
    <row r="172" spans="1:15" ht="48" x14ac:dyDescent="0.25">
      <c r="A172" s="19" t="s">
        <v>1938</v>
      </c>
      <c r="B172" s="17" t="s">
        <v>1937</v>
      </c>
      <c r="C172" s="20">
        <v>1</v>
      </c>
      <c r="D172" s="18">
        <v>74</v>
      </c>
      <c r="E172" s="18">
        <v>74</v>
      </c>
      <c r="F172" s="20" t="s">
        <v>1936</v>
      </c>
      <c r="G172" s="17" t="s">
        <v>1356</v>
      </c>
      <c r="H172" s="19" t="s">
        <v>197</v>
      </c>
      <c r="I172" s="18">
        <v>13.333333333333334</v>
      </c>
      <c r="J172" s="17" t="s">
        <v>148</v>
      </c>
      <c r="K172" s="17" t="s">
        <v>409</v>
      </c>
      <c r="L172" s="17"/>
      <c r="M172" s="17"/>
      <c r="N172" s="16" t="str">
        <f>HYPERLINK("http://slimages.macys.com/is/image/MCY/18860435 ")</f>
        <v xml:space="preserve">http://slimages.macys.com/is/image/MCY/18860435 </v>
      </c>
      <c r="O172" s="37"/>
    </row>
    <row r="173" spans="1:15" ht="72" x14ac:dyDescent="0.25">
      <c r="A173" s="19" t="s">
        <v>2739</v>
      </c>
      <c r="B173" s="17" t="s">
        <v>2738</v>
      </c>
      <c r="C173" s="20">
        <v>1</v>
      </c>
      <c r="D173" s="18">
        <v>79.5</v>
      </c>
      <c r="E173" s="18">
        <v>79.5</v>
      </c>
      <c r="F173" s="20">
        <v>30159496</v>
      </c>
      <c r="G173" s="17" t="s">
        <v>23</v>
      </c>
      <c r="H173" s="19" t="s">
        <v>69</v>
      </c>
      <c r="I173" s="18">
        <v>13.253333333333334</v>
      </c>
      <c r="J173" s="17" t="s">
        <v>481</v>
      </c>
      <c r="K173" s="17" t="s">
        <v>480</v>
      </c>
      <c r="L173" s="17"/>
      <c r="M173" s="17"/>
      <c r="N173" s="16" t="str">
        <f>HYPERLINK("http://slimages.macys.com/is/image/MCY/21168146 ")</f>
        <v xml:space="preserve">http://slimages.macys.com/is/image/MCY/21168146 </v>
      </c>
      <c r="O173" s="37"/>
    </row>
    <row r="174" spans="1:15" ht="36" x14ac:dyDescent="0.25">
      <c r="A174" s="19" t="s">
        <v>2737</v>
      </c>
      <c r="B174" s="17" t="s">
        <v>2736</v>
      </c>
      <c r="C174" s="20">
        <v>1</v>
      </c>
      <c r="D174" s="18">
        <v>99</v>
      </c>
      <c r="E174" s="18">
        <v>99</v>
      </c>
      <c r="F174" s="20" t="s">
        <v>1931</v>
      </c>
      <c r="G174" s="17" t="s">
        <v>51</v>
      </c>
      <c r="H174" s="19" t="s">
        <v>698</v>
      </c>
      <c r="I174" s="18">
        <v>13.200000000000001</v>
      </c>
      <c r="J174" s="17" t="s">
        <v>678</v>
      </c>
      <c r="K174" s="17" t="s">
        <v>404</v>
      </c>
      <c r="L174" s="17"/>
      <c r="M174" s="17"/>
      <c r="N174" s="16" t="str">
        <f>HYPERLINK("http://slimages.macys.com/is/image/MCY/19087756 ")</f>
        <v xml:space="preserve">http://slimages.macys.com/is/image/MCY/19087756 </v>
      </c>
      <c r="O174" s="37"/>
    </row>
    <row r="175" spans="1:15" ht="48" x14ac:dyDescent="0.25">
      <c r="A175" s="19" t="s">
        <v>2735</v>
      </c>
      <c r="B175" s="17" t="s">
        <v>2734</v>
      </c>
      <c r="C175" s="20">
        <v>1</v>
      </c>
      <c r="D175" s="18">
        <v>89.5</v>
      </c>
      <c r="E175" s="18">
        <v>89.5</v>
      </c>
      <c r="F175" s="20" t="s">
        <v>2733</v>
      </c>
      <c r="G175" s="17" t="s">
        <v>58</v>
      </c>
      <c r="H175" s="19" t="s">
        <v>271</v>
      </c>
      <c r="I175" s="18">
        <v>13.166666666666668</v>
      </c>
      <c r="J175" s="17" t="s">
        <v>1891</v>
      </c>
      <c r="K175" s="17" t="s">
        <v>67</v>
      </c>
      <c r="L175" s="17"/>
      <c r="M175" s="17"/>
      <c r="N175" s="16" t="str">
        <f>HYPERLINK("http://slimages.macys.com/is/image/MCY/17695453 ")</f>
        <v xml:space="preserve">http://slimages.macys.com/is/image/MCY/17695453 </v>
      </c>
      <c r="O175" s="37"/>
    </row>
    <row r="176" spans="1:15" ht="36" x14ac:dyDescent="0.25">
      <c r="A176" s="19" t="s">
        <v>2732</v>
      </c>
      <c r="B176" s="17" t="s">
        <v>2731</v>
      </c>
      <c r="C176" s="20">
        <v>1</v>
      </c>
      <c r="D176" s="18">
        <v>79</v>
      </c>
      <c r="E176" s="18">
        <v>79</v>
      </c>
      <c r="F176" s="20">
        <v>7031051</v>
      </c>
      <c r="G176" s="17" t="s">
        <v>91</v>
      </c>
      <c r="H176" s="19" t="s">
        <v>101</v>
      </c>
      <c r="I176" s="18">
        <v>13.166666666666668</v>
      </c>
      <c r="J176" s="17" t="s">
        <v>111</v>
      </c>
      <c r="K176" s="17" t="s">
        <v>110</v>
      </c>
      <c r="L176" s="17"/>
      <c r="M176" s="17"/>
      <c r="N176" s="16" t="str">
        <f>HYPERLINK("http://slimages.macys.com/is/image/MCY/19390671 ")</f>
        <v xml:space="preserve">http://slimages.macys.com/is/image/MCY/19390671 </v>
      </c>
      <c r="O176" s="37"/>
    </row>
    <row r="177" spans="1:15" ht="60" x14ac:dyDescent="0.25">
      <c r="A177" s="19" t="s">
        <v>2730</v>
      </c>
      <c r="B177" s="17" t="s">
        <v>2729</v>
      </c>
      <c r="C177" s="20">
        <v>1</v>
      </c>
      <c r="D177" s="18">
        <v>69.5</v>
      </c>
      <c r="E177" s="18">
        <v>69.5</v>
      </c>
      <c r="F177" s="20" t="s">
        <v>2728</v>
      </c>
      <c r="G177" s="17" t="s">
        <v>330</v>
      </c>
      <c r="H177" s="19" t="s">
        <v>139</v>
      </c>
      <c r="I177" s="18">
        <v>13.086666666666668</v>
      </c>
      <c r="J177" s="17" t="s">
        <v>1891</v>
      </c>
      <c r="K177" s="17" t="s">
        <v>2435</v>
      </c>
      <c r="L177" s="17"/>
      <c r="M177" s="17"/>
      <c r="N177" s="16" t="str">
        <f>HYPERLINK("http://slimages.macys.com/is/image/MCY/19506604 ")</f>
        <v xml:space="preserve">http://slimages.macys.com/is/image/MCY/19506604 </v>
      </c>
      <c r="O177" s="37"/>
    </row>
    <row r="178" spans="1:15" ht="48" x14ac:dyDescent="0.25">
      <c r="A178" s="19" t="s">
        <v>1153</v>
      </c>
      <c r="B178" s="17" t="s">
        <v>1152</v>
      </c>
      <c r="C178" s="20">
        <v>1</v>
      </c>
      <c r="D178" s="18">
        <v>51.75</v>
      </c>
      <c r="E178" s="18">
        <v>51.75</v>
      </c>
      <c r="F178" s="20" t="s">
        <v>1144</v>
      </c>
      <c r="G178" s="17" t="s">
        <v>272</v>
      </c>
      <c r="H178" s="19" t="s">
        <v>139</v>
      </c>
      <c r="I178" s="18">
        <v>13.020000000000001</v>
      </c>
      <c r="J178" s="17" t="s">
        <v>358</v>
      </c>
      <c r="K178" s="17" t="s">
        <v>32</v>
      </c>
      <c r="L178" s="17"/>
      <c r="M178" s="17"/>
      <c r="N178" s="16" t="str">
        <f>HYPERLINK("http://slimages.macys.com/is/image/MCY/19728027 ")</f>
        <v xml:space="preserve">http://slimages.macys.com/is/image/MCY/19728027 </v>
      </c>
      <c r="O178" s="37"/>
    </row>
    <row r="179" spans="1:15" ht="48" x14ac:dyDescent="0.25">
      <c r="A179" s="19" t="s">
        <v>2727</v>
      </c>
      <c r="B179" s="17" t="s">
        <v>2726</v>
      </c>
      <c r="C179" s="20">
        <v>4</v>
      </c>
      <c r="D179" s="18">
        <v>59</v>
      </c>
      <c r="E179" s="18">
        <v>236</v>
      </c>
      <c r="F179" s="20" t="s">
        <v>2725</v>
      </c>
      <c r="G179" s="17" t="s">
        <v>562</v>
      </c>
      <c r="H179" s="19" t="s">
        <v>1140</v>
      </c>
      <c r="I179" s="18">
        <v>13.013333333333334</v>
      </c>
      <c r="J179" s="17" t="s">
        <v>49</v>
      </c>
      <c r="K179" s="17" t="s">
        <v>48</v>
      </c>
      <c r="L179" s="17"/>
      <c r="M179" s="17"/>
      <c r="N179" s="16" t="str">
        <f>HYPERLINK("http://slimages.macys.com/is/image/MCY/19191565 ")</f>
        <v xml:space="preserve">http://slimages.macys.com/is/image/MCY/19191565 </v>
      </c>
      <c r="O179" s="37"/>
    </row>
    <row r="180" spans="1:15" ht="36" x14ac:dyDescent="0.25">
      <c r="A180" s="19" t="s">
        <v>2724</v>
      </c>
      <c r="B180" s="17" t="s">
        <v>2723</v>
      </c>
      <c r="C180" s="20">
        <v>1</v>
      </c>
      <c r="D180" s="18">
        <v>69</v>
      </c>
      <c r="E180" s="18">
        <v>69</v>
      </c>
      <c r="F180" s="20" t="s">
        <v>2722</v>
      </c>
      <c r="G180" s="17" t="s">
        <v>23</v>
      </c>
      <c r="H180" s="19" t="s">
        <v>62</v>
      </c>
      <c r="I180" s="18">
        <v>12.74</v>
      </c>
      <c r="J180" s="17" t="s">
        <v>405</v>
      </c>
      <c r="K180" s="17" t="s">
        <v>404</v>
      </c>
      <c r="L180" s="17"/>
      <c r="M180" s="17"/>
      <c r="N180" s="16" t="str">
        <f>HYPERLINK("http://slimages.macys.com/is/image/MCY/17417625 ")</f>
        <v xml:space="preserve">http://slimages.macys.com/is/image/MCY/17417625 </v>
      </c>
      <c r="O180" s="37"/>
    </row>
    <row r="181" spans="1:15" ht="36" x14ac:dyDescent="0.25">
      <c r="A181" s="19" t="s">
        <v>2721</v>
      </c>
      <c r="B181" s="17" t="s">
        <v>2720</v>
      </c>
      <c r="C181" s="20">
        <v>1</v>
      </c>
      <c r="D181" s="18">
        <v>69</v>
      </c>
      <c r="E181" s="18">
        <v>69</v>
      </c>
      <c r="F181" s="20" t="s">
        <v>2719</v>
      </c>
      <c r="G181" s="17" t="s">
        <v>1408</v>
      </c>
      <c r="H181" s="19" t="s">
        <v>43</v>
      </c>
      <c r="I181" s="18">
        <v>12.74</v>
      </c>
      <c r="J181" s="17" t="s">
        <v>405</v>
      </c>
      <c r="K181" s="17" t="s">
        <v>404</v>
      </c>
      <c r="L181" s="17"/>
      <c r="M181" s="17"/>
      <c r="N181" s="16" t="str">
        <f>HYPERLINK("http://slimages.macys.com/is/image/MCY/17417433 ")</f>
        <v xml:space="preserve">http://slimages.macys.com/is/image/MCY/17417433 </v>
      </c>
      <c r="O181" s="37"/>
    </row>
    <row r="182" spans="1:15" ht="48" x14ac:dyDescent="0.25">
      <c r="A182" s="19" t="s">
        <v>2718</v>
      </c>
      <c r="B182" s="17" t="s">
        <v>2717</v>
      </c>
      <c r="C182" s="20">
        <v>9</v>
      </c>
      <c r="D182" s="18">
        <v>55</v>
      </c>
      <c r="E182" s="18">
        <v>495</v>
      </c>
      <c r="F182" s="20" t="s">
        <v>2710</v>
      </c>
      <c r="G182" s="17" t="s">
        <v>345</v>
      </c>
      <c r="H182" s="19" t="s">
        <v>17</v>
      </c>
      <c r="I182" s="18">
        <v>12.653333333333332</v>
      </c>
      <c r="J182" s="17" t="s">
        <v>16</v>
      </c>
      <c r="K182" s="17" t="s">
        <v>15</v>
      </c>
      <c r="L182" s="17"/>
      <c r="M182" s="17"/>
      <c r="N182" s="16" t="str">
        <f>HYPERLINK("http://slimages.macys.com/is/image/MCY/19323872 ")</f>
        <v xml:space="preserve">http://slimages.macys.com/is/image/MCY/19323872 </v>
      </c>
      <c r="O182" s="37"/>
    </row>
    <row r="183" spans="1:15" ht="48" x14ac:dyDescent="0.25">
      <c r="A183" s="19" t="s">
        <v>2716</v>
      </c>
      <c r="B183" s="17" t="s">
        <v>2715</v>
      </c>
      <c r="C183" s="20">
        <v>5</v>
      </c>
      <c r="D183" s="18">
        <v>55</v>
      </c>
      <c r="E183" s="18">
        <v>275</v>
      </c>
      <c r="F183" s="20" t="s">
        <v>2710</v>
      </c>
      <c r="G183" s="17" t="s">
        <v>345</v>
      </c>
      <c r="H183" s="19" t="s">
        <v>101</v>
      </c>
      <c r="I183" s="18">
        <v>12.653333333333332</v>
      </c>
      <c r="J183" s="17" t="s">
        <v>16</v>
      </c>
      <c r="K183" s="17" t="s">
        <v>15</v>
      </c>
      <c r="L183" s="17"/>
      <c r="M183" s="17"/>
      <c r="N183" s="16" t="str">
        <f>HYPERLINK("http://slimages.macys.com/is/image/MCY/19323872 ")</f>
        <v xml:space="preserve">http://slimages.macys.com/is/image/MCY/19323872 </v>
      </c>
      <c r="O183" s="37"/>
    </row>
    <row r="184" spans="1:15" ht="48" x14ac:dyDescent="0.25">
      <c r="A184" s="19" t="s">
        <v>2714</v>
      </c>
      <c r="B184" s="17" t="s">
        <v>2713</v>
      </c>
      <c r="C184" s="20">
        <v>9</v>
      </c>
      <c r="D184" s="18">
        <v>55</v>
      </c>
      <c r="E184" s="18">
        <v>495</v>
      </c>
      <c r="F184" s="20" t="s">
        <v>2710</v>
      </c>
      <c r="G184" s="17" t="s">
        <v>345</v>
      </c>
      <c r="H184" s="19" t="s">
        <v>22</v>
      </c>
      <c r="I184" s="18">
        <v>12.653333333333332</v>
      </c>
      <c r="J184" s="17" t="s">
        <v>16</v>
      </c>
      <c r="K184" s="17" t="s">
        <v>15</v>
      </c>
      <c r="L184" s="17"/>
      <c r="M184" s="17"/>
      <c r="N184" s="16" t="str">
        <f>HYPERLINK("http://slimages.macys.com/is/image/MCY/19323872 ")</f>
        <v xml:space="preserve">http://slimages.macys.com/is/image/MCY/19323872 </v>
      </c>
      <c r="O184" s="37"/>
    </row>
    <row r="185" spans="1:15" ht="48" x14ac:dyDescent="0.25">
      <c r="A185" s="19" t="s">
        <v>2712</v>
      </c>
      <c r="B185" s="17" t="s">
        <v>2711</v>
      </c>
      <c r="C185" s="20">
        <v>1</v>
      </c>
      <c r="D185" s="18">
        <v>55</v>
      </c>
      <c r="E185" s="18">
        <v>55</v>
      </c>
      <c r="F185" s="20" t="s">
        <v>2710</v>
      </c>
      <c r="G185" s="17" t="s">
        <v>345</v>
      </c>
      <c r="H185" s="19" t="s">
        <v>62</v>
      </c>
      <c r="I185" s="18">
        <v>12.653333333333332</v>
      </c>
      <c r="J185" s="17" t="s">
        <v>16</v>
      </c>
      <c r="K185" s="17" t="s">
        <v>15</v>
      </c>
      <c r="L185" s="17"/>
      <c r="M185" s="17"/>
      <c r="N185" s="16" t="str">
        <f>HYPERLINK("http://slimages.macys.com/is/image/MCY/19323872 ")</f>
        <v xml:space="preserve">http://slimages.macys.com/is/image/MCY/19323872 </v>
      </c>
      <c r="O185" s="37"/>
    </row>
    <row r="186" spans="1:15" ht="48" x14ac:dyDescent="0.25">
      <c r="A186" s="19" t="s">
        <v>2709</v>
      </c>
      <c r="B186" s="17" t="s">
        <v>2708</v>
      </c>
      <c r="C186" s="20">
        <v>1</v>
      </c>
      <c r="D186" s="18">
        <v>49.99</v>
      </c>
      <c r="E186" s="18">
        <v>49.99</v>
      </c>
      <c r="F186" s="20" t="s">
        <v>416</v>
      </c>
      <c r="G186" s="17" t="s">
        <v>575</v>
      </c>
      <c r="H186" s="19"/>
      <c r="I186" s="18">
        <v>12.6</v>
      </c>
      <c r="J186" s="17" t="s">
        <v>42</v>
      </c>
      <c r="K186" s="17" t="s">
        <v>41</v>
      </c>
      <c r="L186" s="17"/>
      <c r="M186" s="17"/>
      <c r="N186" s="16" t="str">
        <f>HYPERLINK("http://slimages.macys.com/is/image/MCY/18504822 ")</f>
        <v xml:space="preserve">http://slimages.macys.com/is/image/MCY/18504822 </v>
      </c>
      <c r="O186" s="37"/>
    </row>
    <row r="187" spans="1:15" ht="36" x14ac:dyDescent="0.25">
      <c r="A187" s="19" t="s">
        <v>2707</v>
      </c>
      <c r="B187" s="17" t="s">
        <v>2706</v>
      </c>
      <c r="C187" s="20">
        <v>1</v>
      </c>
      <c r="D187" s="18">
        <v>74</v>
      </c>
      <c r="E187" s="18">
        <v>74</v>
      </c>
      <c r="F187" s="20">
        <v>7021056</v>
      </c>
      <c r="G187" s="17" t="s">
        <v>91</v>
      </c>
      <c r="H187" s="19" t="s">
        <v>101</v>
      </c>
      <c r="I187" s="18">
        <v>12.333333333333334</v>
      </c>
      <c r="J187" s="17" t="s">
        <v>111</v>
      </c>
      <c r="K187" s="17" t="s">
        <v>110</v>
      </c>
      <c r="L187" s="17"/>
      <c r="M187" s="17"/>
      <c r="N187" s="16" t="str">
        <f>HYPERLINK("http://slimages.macys.com/is/image/MCY/18738724 ")</f>
        <v xml:space="preserve">http://slimages.macys.com/is/image/MCY/18738724 </v>
      </c>
      <c r="O187" s="37"/>
    </row>
    <row r="188" spans="1:15" ht="24" x14ac:dyDescent="0.25">
      <c r="A188" s="19" t="s">
        <v>1120</v>
      </c>
      <c r="B188" s="17" t="s">
        <v>1119</v>
      </c>
      <c r="C188" s="20">
        <v>1</v>
      </c>
      <c r="D188" s="18">
        <v>59</v>
      </c>
      <c r="E188" s="18">
        <v>59</v>
      </c>
      <c r="F188" s="20">
        <v>10804500</v>
      </c>
      <c r="G188" s="17" t="s">
        <v>23</v>
      </c>
      <c r="H188" s="19" t="s">
        <v>62</v>
      </c>
      <c r="I188" s="18">
        <v>12.193333333333333</v>
      </c>
      <c r="J188" s="17" t="s">
        <v>144</v>
      </c>
      <c r="K188" s="17" t="s">
        <v>143</v>
      </c>
      <c r="L188" s="17"/>
      <c r="M188" s="17"/>
      <c r="N188" s="16" t="str">
        <f>HYPERLINK("http://slimages.macys.com/is/image/MCY/19096173 ")</f>
        <v xml:space="preserve">http://slimages.macys.com/is/image/MCY/19096173 </v>
      </c>
      <c r="O188" s="37"/>
    </row>
    <row r="189" spans="1:15" ht="48" x14ac:dyDescent="0.25">
      <c r="A189" s="19" t="s">
        <v>2705</v>
      </c>
      <c r="B189" s="17" t="s">
        <v>2704</v>
      </c>
      <c r="C189" s="20">
        <v>1</v>
      </c>
      <c r="D189" s="18">
        <v>64.5</v>
      </c>
      <c r="E189" s="18">
        <v>64.5</v>
      </c>
      <c r="F189" s="20" t="s">
        <v>2703</v>
      </c>
      <c r="G189" s="17" t="s">
        <v>28</v>
      </c>
      <c r="H189" s="19" t="s">
        <v>351</v>
      </c>
      <c r="I189" s="18">
        <v>12.146666666666668</v>
      </c>
      <c r="J189" s="17" t="s">
        <v>1891</v>
      </c>
      <c r="K189" s="17" t="s">
        <v>67</v>
      </c>
      <c r="L189" s="17"/>
      <c r="M189" s="17"/>
      <c r="N189" s="16" t="str">
        <f>HYPERLINK("http://slimages.macys.com/is/image/MCY/18589920 ")</f>
        <v xml:space="preserve">http://slimages.macys.com/is/image/MCY/18589920 </v>
      </c>
      <c r="O189" s="37"/>
    </row>
    <row r="190" spans="1:15" ht="48" x14ac:dyDescent="0.25">
      <c r="A190" s="19" t="s">
        <v>2702</v>
      </c>
      <c r="B190" s="17" t="s">
        <v>2701</v>
      </c>
      <c r="C190" s="20">
        <v>1</v>
      </c>
      <c r="D190" s="18">
        <v>64.5</v>
      </c>
      <c r="E190" s="18">
        <v>64.5</v>
      </c>
      <c r="F190" s="20" t="s">
        <v>2700</v>
      </c>
      <c r="G190" s="17" t="s">
        <v>35</v>
      </c>
      <c r="H190" s="19" t="s">
        <v>351</v>
      </c>
      <c r="I190" s="18">
        <v>12.146666666666668</v>
      </c>
      <c r="J190" s="17" t="s">
        <v>1891</v>
      </c>
      <c r="K190" s="17" t="s">
        <v>67</v>
      </c>
      <c r="L190" s="17"/>
      <c r="M190" s="17"/>
      <c r="N190" s="16" t="str">
        <f>HYPERLINK("http://slimages.macys.com/is/image/MCY/18589901 ")</f>
        <v xml:space="preserve">http://slimages.macys.com/is/image/MCY/18589901 </v>
      </c>
      <c r="O190" s="37"/>
    </row>
    <row r="191" spans="1:15" ht="48" x14ac:dyDescent="0.25">
      <c r="A191" s="19" t="s">
        <v>2699</v>
      </c>
      <c r="B191" s="17" t="s">
        <v>2698</v>
      </c>
      <c r="C191" s="20">
        <v>1</v>
      </c>
      <c r="D191" s="18">
        <v>69.5</v>
      </c>
      <c r="E191" s="18">
        <v>69.5</v>
      </c>
      <c r="F191" s="20" t="s">
        <v>2697</v>
      </c>
      <c r="G191" s="17" t="s">
        <v>63</v>
      </c>
      <c r="H191" s="19" t="s">
        <v>271</v>
      </c>
      <c r="I191" s="18">
        <v>12.046666666666667</v>
      </c>
      <c r="J191" s="17" t="s">
        <v>1891</v>
      </c>
      <c r="K191" s="17" t="s">
        <v>2435</v>
      </c>
      <c r="L191" s="17"/>
      <c r="M191" s="17"/>
      <c r="N191" s="16" t="str">
        <f>HYPERLINK("http://slimages.macys.com/is/image/MCY/18828011 ")</f>
        <v xml:space="preserve">http://slimages.macys.com/is/image/MCY/18828011 </v>
      </c>
      <c r="O191" s="37"/>
    </row>
    <row r="192" spans="1:15" ht="48" x14ac:dyDescent="0.25">
      <c r="A192" s="19" t="s">
        <v>2696</v>
      </c>
      <c r="B192" s="17" t="s">
        <v>2695</v>
      </c>
      <c r="C192" s="20">
        <v>1</v>
      </c>
      <c r="D192" s="18">
        <v>66.75</v>
      </c>
      <c r="E192" s="18">
        <v>66.75</v>
      </c>
      <c r="F192" s="20" t="s">
        <v>2690</v>
      </c>
      <c r="G192" s="17" t="s">
        <v>23</v>
      </c>
      <c r="H192" s="19" t="s">
        <v>1292</v>
      </c>
      <c r="I192" s="18">
        <v>12.013333333333334</v>
      </c>
      <c r="J192" s="17" t="s">
        <v>358</v>
      </c>
      <c r="K192" s="17" t="s">
        <v>32</v>
      </c>
      <c r="L192" s="17"/>
      <c r="M192" s="17"/>
      <c r="N192" s="16" t="str">
        <f>HYPERLINK("http://slimages.macys.com/is/image/MCY/18365789 ")</f>
        <v xml:space="preserve">http://slimages.macys.com/is/image/MCY/18365789 </v>
      </c>
      <c r="O192" s="37"/>
    </row>
    <row r="193" spans="1:15" ht="48" x14ac:dyDescent="0.25">
      <c r="A193" s="19" t="s">
        <v>2694</v>
      </c>
      <c r="B193" s="17" t="s">
        <v>2693</v>
      </c>
      <c r="C193" s="20">
        <v>1</v>
      </c>
      <c r="D193" s="18">
        <v>66.75</v>
      </c>
      <c r="E193" s="18">
        <v>66.75</v>
      </c>
      <c r="F193" s="20" t="s">
        <v>2690</v>
      </c>
      <c r="G193" s="17" t="s">
        <v>23</v>
      </c>
      <c r="H193" s="19" t="s">
        <v>916</v>
      </c>
      <c r="I193" s="18">
        <v>12.013333333333334</v>
      </c>
      <c r="J193" s="17" t="s">
        <v>358</v>
      </c>
      <c r="K193" s="17" t="s">
        <v>32</v>
      </c>
      <c r="L193" s="17"/>
      <c r="M193" s="17"/>
      <c r="N193" s="16" t="str">
        <f>HYPERLINK("http://slimages.macys.com/is/image/MCY/18365789 ")</f>
        <v xml:space="preserve">http://slimages.macys.com/is/image/MCY/18365789 </v>
      </c>
      <c r="O193" s="37"/>
    </row>
    <row r="194" spans="1:15" ht="48" x14ac:dyDescent="0.25">
      <c r="A194" s="19" t="s">
        <v>2692</v>
      </c>
      <c r="B194" s="17" t="s">
        <v>2691</v>
      </c>
      <c r="C194" s="20">
        <v>1</v>
      </c>
      <c r="D194" s="18">
        <v>66.75</v>
      </c>
      <c r="E194" s="18">
        <v>66.75</v>
      </c>
      <c r="F194" s="20" t="s">
        <v>2690</v>
      </c>
      <c r="G194" s="17" t="s">
        <v>23</v>
      </c>
      <c r="H194" s="19"/>
      <c r="I194" s="18">
        <v>12.013333333333334</v>
      </c>
      <c r="J194" s="17" t="s">
        <v>358</v>
      </c>
      <c r="K194" s="17" t="s">
        <v>32</v>
      </c>
      <c r="L194" s="17"/>
      <c r="M194" s="17"/>
      <c r="N194" s="16" t="str">
        <f>HYPERLINK("http://slimages.macys.com/is/image/MCY/18365789 ")</f>
        <v xml:space="preserve">http://slimages.macys.com/is/image/MCY/18365789 </v>
      </c>
      <c r="O194" s="37"/>
    </row>
    <row r="195" spans="1:15" ht="48" x14ac:dyDescent="0.25">
      <c r="A195" s="19" t="s">
        <v>1107</v>
      </c>
      <c r="B195" s="17" t="s">
        <v>1106</v>
      </c>
      <c r="C195" s="20">
        <v>2</v>
      </c>
      <c r="D195" s="18">
        <v>54</v>
      </c>
      <c r="E195" s="18">
        <v>108</v>
      </c>
      <c r="F195" s="20" t="s">
        <v>1105</v>
      </c>
      <c r="G195" s="17" t="s">
        <v>562</v>
      </c>
      <c r="H195" s="19" t="s">
        <v>74</v>
      </c>
      <c r="I195" s="18">
        <v>12</v>
      </c>
      <c r="J195" s="17" t="s">
        <v>133</v>
      </c>
      <c r="K195" s="17" t="s">
        <v>833</v>
      </c>
      <c r="L195" s="17"/>
      <c r="M195" s="17"/>
      <c r="N195" s="16" t="str">
        <f>HYPERLINK("http://slimages.macys.com/is/image/MCY/19305370 ")</f>
        <v xml:space="preserve">http://slimages.macys.com/is/image/MCY/19305370 </v>
      </c>
      <c r="O195" s="37"/>
    </row>
    <row r="196" spans="1:15" ht="36" x14ac:dyDescent="0.25">
      <c r="A196" s="19" t="s">
        <v>1104</v>
      </c>
      <c r="B196" s="17" t="s">
        <v>1103</v>
      </c>
      <c r="C196" s="20">
        <v>8</v>
      </c>
      <c r="D196" s="18">
        <v>54</v>
      </c>
      <c r="E196" s="18">
        <v>432</v>
      </c>
      <c r="F196" s="20" t="s">
        <v>1094</v>
      </c>
      <c r="G196" s="17" t="s">
        <v>28</v>
      </c>
      <c r="H196" s="19" t="s">
        <v>69</v>
      </c>
      <c r="I196" s="18">
        <v>12</v>
      </c>
      <c r="J196" s="17" t="s">
        <v>133</v>
      </c>
      <c r="K196" s="17" t="s">
        <v>833</v>
      </c>
      <c r="L196" s="17"/>
      <c r="M196" s="17"/>
      <c r="N196" s="16" t="str">
        <f>HYPERLINK("http://slimages.macys.com/is/image/MCY/19305425 ")</f>
        <v xml:space="preserve">http://slimages.macys.com/is/image/MCY/19305425 </v>
      </c>
      <c r="O196" s="37"/>
    </row>
    <row r="197" spans="1:15" ht="36" x14ac:dyDescent="0.25">
      <c r="A197" s="19" t="s">
        <v>2689</v>
      </c>
      <c r="B197" s="17" t="s">
        <v>2688</v>
      </c>
      <c r="C197" s="20">
        <v>9</v>
      </c>
      <c r="D197" s="18">
        <v>54</v>
      </c>
      <c r="E197" s="18">
        <v>486</v>
      </c>
      <c r="F197" s="20" t="s">
        <v>1094</v>
      </c>
      <c r="G197" s="17" t="s">
        <v>28</v>
      </c>
      <c r="H197" s="19" t="s">
        <v>74</v>
      </c>
      <c r="I197" s="18">
        <v>12</v>
      </c>
      <c r="J197" s="17" t="s">
        <v>133</v>
      </c>
      <c r="K197" s="17" t="s">
        <v>833</v>
      </c>
      <c r="L197" s="17"/>
      <c r="M197" s="17"/>
      <c r="N197" s="16" t="str">
        <f>HYPERLINK("http://slimages.macys.com/is/image/MCY/19305425 ")</f>
        <v xml:space="preserve">http://slimages.macys.com/is/image/MCY/19305425 </v>
      </c>
      <c r="O197" s="37"/>
    </row>
    <row r="198" spans="1:15" ht="60" x14ac:dyDescent="0.25">
      <c r="A198" s="19" t="s">
        <v>1102</v>
      </c>
      <c r="B198" s="17" t="s">
        <v>1101</v>
      </c>
      <c r="C198" s="20">
        <v>6</v>
      </c>
      <c r="D198" s="18">
        <v>54</v>
      </c>
      <c r="E198" s="18">
        <v>324</v>
      </c>
      <c r="F198" s="20" t="s">
        <v>1094</v>
      </c>
      <c r="G198" s="17" t="s">
        <v>272</v>
      </c>
      <c r="H198" s="19" t="s">
        <v>62</v>
      </c>
      <c r="I198" s="18">
        <v>12</v>
      </c>
      <c r="J198" s="17" t="s">
        <v>133</v>
      </c>
      <c r="K198" s="17" t="s">
        <v>833</v>
      </c>
      <c r="L198" s="17"/>
      <c r="M198" s="17"/>
      <c r="N198" s="16" t="str">
        <f>HYPERLINK("http://slimages.macys.com/is/image/MCY/19305425 ")</f>
        <v xml:space="preserve">http://slimages.macys.com/is/image/MCY/19305425 </v>
      </c>
      <c r="O198" s="37"/>
    </row>
    <row r="199" spans="1:15" ht="48" x14ac:dyDescent="0.25">
      <c r="A199" s="19" t="s">
        <v>2687</v>
      </c>
      <c r="B199" s="17" t="s">
        <v>2686</v>
      </c>
      <c r="C199" s="20">
        <v>5</v>
      </c>
      <c r="D199" s="18">
        <v>54</v>
      </c>
      <c r="E199" s="18">
        <v>270</v>
      </c>
      <c r="F199" s="20" t="s">
        <v>1094</v>
      </c>
      <c r="G199" s="17" t="s">
        <v>28</v>
      </c>
      <c r="H199" s="19" t="s">
        <v>57</v>
      </c>
      <c r="I199" s="18">
        <v>12</v>
      </c>
      <c r="J199" s="17" t="s">
        <v>133</v>
      </c>
      <c r="K199" s="17" t="s">
        <v>833</v>
      </c>
      <c r="L199" s="17"/>
      <c r="M199" s="17"/>
      <c r="N199" s="16" t="str">
        <f>HYPERLINK("http://slimages.macys.com/is/image/MCY/19305425 ")</f>
        <v xml:space="preserve">http://slimages.macys.com/is/image/MCY/19305425 </v>
      </c>
      <c r="O199" s="37"/>
    </row>
    <row r="200" spans="1:15" ht="48" x14ac:dyDescent="0.25">
      <c r="A200" s="19" t="s">
        <v>2685</v>
      </c>
      <c r="B200" s="17" t="s">
        <v>2684</v>
      </c>
      <c r="C200" s="20">
        <v>9</v>
      </c>
      <c r="D200" s="18">
        <v>54</v>
      </c>
      <c r="E200" s="18">
        <v>486</v>
      </c>
      <c r="F200" s="20" t="s">
        <v>1105</v>
      </c>
      <c r="G200" s="17" t="s">
        <v>562</v>
      </c>
      <c r="H200" s="19" t="s">
        <v>69</v>
      </c>
      <c r="I200" s="18">
        <v>12</v>
      </c>
      <c r="J200" s="17" t="s">
        <v>133</v>
      </c>
      <c r="K200" s="17" t="s">
        <v>833</v>
      </c>
      <c r="L200" s="17"/>
      <c r="M200" s="17"/>
      <c r="N200" s="16" t="str">
        <f>HYPERLINK("http://slimages.macys.com/is/image/MCY/19305370 ")</f>
        <v xml:space="preserve">http://slimages.macys.com/is/image/MCY/19305370 </v>
      </c>
      <c r="O200" s="37"/>
    </row>
    <row r="201" spans="1:15" ht="60" x14ac:dyDescent="0.25">
      <c r="A201" s="19" t="s">
        <v>2683</v>
      </c>
      <c r="B201" s="17" t="s">
        <v>2682</v>
      </c>
      <c r="C201" s="20">
        <v>1</v>
      </c>
      <c r="D201" s="18">
        <v>54</v>
      </c>
      <c r="E201" s="18">
        <v>54</v>
      </c>
      <c r="F201" s="20" t="s">
        <v>1094</v>
      </c>
      <c r="G201" s="17" t="s">
        <v>272</v>
      </c>
      <c r="H201" s="19" t="s">
        <v>74</v>
      </c>
      <c r="I201" s="18">
        <v>12</v>
      </c>
      <c r="J201" s="17" t="s">
        <v>133</v>
      </c>
      <c r="K201" s="17" t="s">
        <v>833</v>
      </c>
      <c r="L201" s="17"/>
      <c r="M201" s="17"/>
      <c r="N201" s="16" t="str">
        <f>HYPERLINK("http://slimages.macys.com/is/image/MCY/19305425 ")</f>
        <v xml:space="preserve">http://slimages.macys.com/is/image/MCY/19305425 </v>
      </c>
      <c r="O201" s="37"/>
    </row>
    <row r="202" spans="1:15" ht="60" x14ac:dyDescent="0.25">
      <c r="A202" s="19" t="s">
        <v>1100</v>
      </c>
      <c r="B202" s="17" t="s">
        <v>1099</v>
      </c>
      <c r="C202" s="20">
        <v>2</v>
      </c>
      <c r="D202" s="18">
        <v>54</v>
      </c>
      <c r="E202" s="18">
        <v>108</v>
      </c>
      <c r="F202" s="20" t="s">
        <v>1094</v>
      </c>
      <c r="G202" s="17" t="s">
        <v>272</v>
      </c>
      <c r="H202" s="19" t="s">
        <v>69</v>
      </c>
      <c r="I202" s="18">
        <v>12</v>
      </c>
      <c r="J202" s="17" t="s">
        <v>133</v>
      </c>
      <c r="K202" s="17" t="s">
        <v>833</v>
      </c>
      <c r="L202" s="17"/>
      <c r="M202" s="17"/>
      <c r="N202" s="16" t="str">
        <f>HYPERLINK("http://slimages.macys.com/is/image/MCY/19305425 ")</f>
        <v xml:space="preserve">http://slimages.macys.com/is/image/MCY/19305425 </v>
      </c>
      <c r="O202" s="37"/>
    </row>
    <row r="203" spans="1:15" ht="48" x14ac:dyDescent="0.25">
      <c r="A203" s="19" t="s">
        <v>1109</v>
      </c>
      <c r="B203" s="17" t="s">
        <v>1108</v>
      </c>
      <c r="C203" s="20">
        <v>5</v>
      </c>
      <c r="D203" s="18">
        <v>54</v>
      </c>
      <c r="E203" s="18">
        <v>270</v>
      </c>
      <c r="F203" s="20" t="s">
        <v>1105</v>
      </c>
      <c r="G203" s="17" t="s">
        <v>562</v>
      </c>
      <c r="H203" s="19" t="s">
        <v>62</v>
      </c>
      <c r="I203" s="18">
        <v>12</v>
      </c>
      <c r="J203" s="17" t="s">
        <v>133</v>
      </c>
      <c r="K203" s="17" t="s">
        <v>833</v>
      </c>
      <c r="L203" s="17"/>
      <c r="M203" s="17"/>
      <c r="N203" s="16" t="str">
        <f>HYPERLINK("http://slimages.macys.com/is/image/MCY/19305370 ")</f>
        <v xml:space="preserve">http://slimages.macys.com/is/image/MCY/19305370 </v>
      </c>
      <c r="O203" s="37"/>
    </row>
    <row r="204" spans="1:15" ht="60" x14ac:dyDescent="0.25">
      <c r="A204" s="19" t="s">
        <v>2681</v>
      </c>
      <c r="B204" s="17" t="s">
        <v>2680</v>
      </c>
      <c r="C204" s="20">
        <v>1</v>
      </c>
      <c r="D204" s="18">
        <v>64</v>
      </c>
      <c r="E204" s="18">
        <v>64</v>
      </c>
      <c r="F204" s="20" t="s">
        <v>2679</v>
      </c>
      <c r="G204" s="17" t="s">
        <v>140</v>
      </c>
      <c r="H204" s="19" t="s">
        <v>694</v>
      </c>
      <c r="I204" s="18">
        <v>11.946666666666667</v>
      </c>
      <c r="J204" s="17" t="s">
        <v>80</v>
      </c>
      <c r="K204" s="17" t="s">
        <v>183</v>
      </c>
      <c r="L204" s="17"/>
      <c r="M204" s="17"/>
      <c r="N204" s="16" t="str">
        <f>HYPERLINK("http://slimages.macys.com/is/image/MCY/19784380 ")</f>
        <v xml:space="preserve">http://slimages.macys.com/is/image/MCY/19784380 </v>
      </c>
      <c r="O204" s="37"/>
    </row>
    <row r="205" spans="1:15" ht="36" x14ac:dyDescent="0.25">
      <c r="A205" s="19" t="s">
        <v>2678</v>
      </c>
      <c r="B205" s="17" t="s">
        <v>2677</v>
      </c>
      <c r="C205" s="20">
        <v>1</v>
      </c>
      <c r="D205" s="18">
        <v>59</v>
      </c>
      <c r="E205" s="18">
        <v>59</v>
      </c>
      <c r="F205" s="20" t="s">
        <v>2676</v>
      </c>
      <c r="G205" s="17" t="s">
        <v>91</v>
      </c>
      <c r="H205" s="19" t="s">
        <v>27</v>
      </c>
      <c r="I205" s="18">
        <v>11.8</v>
      </c>
      <c r="J205" s="17" t="s">
        <v>678</v>
      </c>
      <c r="K205" s="17" t="s">
        <v>404</v>
      </c>
      <c r="L205" s="17"/>
      <c r="M205" s="17"/>
      <c r="N205" s="16" t="str">
        <f>HYPERLINK("http://slimages.macys.com/is/image/MCY/19831340 ")</f>
        <v xml:space="preserve">http://slimages.macys.com/is/image/MCY/19831340 </v>
      </c>
      <c r="O205" s="37"/>
    </row>
    <row r="206" spans="1:15" ht="36" x14ac:dyDescent="0.25">
      <c r="A206" s="19" t="s">
        <v>2675</v>
      </c>
      <c r="B206" s="17" t="s">
        <v>2674</v>
      </c>
      <c r="C206" s="20">
        <v>1</v>
      </c>
      <c r="D206" s="18">
        <v>59</v>
      </c>
      <c r="E206" s="18">
        <v>59</v>
      </c>
      <c r="F206" s="20" t="s">
        <v>2673</v>
      </c>
      <c r="G206" s="17" t="s">
        <v>330</v>
      </c>
      <c r="H206" s="19" t="s">
        <v>69</v>
      </c>
      <c r="I206" s="18">
        <v>11.8</v>
      </c>
      <c r="J206" s="17" t="s">
        <v>678</v>
      </c>
      <c r="K206" s="17" t="s">
        <v>404</v>
      </c>
      <c r="L206" s="17"/>
      <c r="M206" s="17"/>
      <c r="N206" s="16" t="str">
        <f>HYPERLINK("http://slimages.macys.com/is/image/MCY/19831400 ")</f>
        <v xml:space="preserve">http://slimages.macys.com/is/image/MCY/19831400 </v>
      </c>
      <c r="O206" s="37"/>
    </row>
    <row r="207" spans="1:15" ht="48" x14ac:dyDescent="0.25">
      <c r="A207" s="19" t="s">
        <v>2672</v>
      </c>
      <c r="B207" s="17" t="s">
        <v>2671</v>
      </c>
      <c r="C207" s="20">
        <v>1</v>
      </c>
      <c r="D207" s="18">
        <v>69.5</v>
      </c>
      <c r="E207" s="18">
        <v>69.5</v>
      </c>
      <c r="F207" s="20" t="s">
        <v>2670</v>
      </c>
      <c r="G207" s="17" t="s">
        <v>58</v>
      </c>
      <c r="H207" s="19" t="s">
        <v>74</v>
      </c>
      <c r="I207" s="18">
        <v>11.78</v>
      </c>
      <c r="J207" s="17" t="s">
        <v>68</v>
      </c>
      <c r="K207" s="17" t="s">
        <v>67</v>
      </c>
      <c r="L207" s="17"/>
      <c r="M207" s="17"/>
      <c r="N207" s="16" t="str">
        <f>HYPERLINK("http://slimages.macys.com/is/image/MCY/16803776 ")</f>
        <v xml:space="preserve">http://slimages.macys.com/is/image/MCY/16803776 </v>
      </c>
      <c r="O207" s="37"/>
    </row>
    <row r="208" spans="1:15" ht="60" x14ac:dyDescent="0.25">
      <c r="A208" s="19" t="s">
        <v>2669</v>
      </c>
      <c r="B208" s="17" t="s">
        <v>2668</v>
      </c>
      <c r="C208" s="20">
        <v>1</v>
      </c>
      <c r="D208" s="18">
        <v>69.5</v>
      </c>
      <c r="E208" s="18">
        <v>69.5</v>
      </c>
      <c r="F208" s="20">
        <v>30157560</v>
      </c>
      <c r="G208" s="17" t="s">
        <v>1536</v>
      </c>
      <c r="H208" s="19" t="s">
        <v>74</v>
      </c>
      <c r="I208" s="18">
        <v>11.586666666666668</v>
      </c>
      <c r="J208" s="17" t="s">
        <v>481</v>
      </c>
      <c r="K208" s="17" t="s">
        <v>480</v>
      </c>
      <c r="L208" s="17"/>
      <c r="M208" s="17"/>
      <c r="N208" s="16" t="str">
        <f>HYPERLINK("http://slimages.macys.com/is/image/MCY/21168106 ")</f>
        <v xml:space="preserve">http://slimages.macys.com/is/image/MCY/21168106 </v>
      </c>
      <c r="O208" s="37"/>
    </row>
    <row r="209" spans="1:15" ht="72" x14ac:dyDescent="0.25">
      <c r="A209" s="19" t="s">
        <v>2667</v>
      </c>
      <c r="B209" s="17" t="s">
        <v>2666</v>
      </c>
      <c r="C209" s="20">
        <v>1</v>
      </c>
      <c r="D209" s="18">
        <v>69.5</v>
      </c>
      <c r="E209" s="18">
        <v>69.5</v>
      </c>
      <c r="F209" s="20">
        <v>30157560</v>
      </c>
      <c r="G209" s="17" t="s">
        <v>1536</v>
      </c>
      <c r="H209" s="19" t="s">
        <v>69</v>
      </c>
      <c r="I209" s="18">
        <v>11.586666666666668</v>
      </c>
      <c r="J209" s="17" t="s">
        <v>481</v>
      </c>
      <c r="K209" s="17" t="s">
        <v>480</v>
      </c>
      <c r="L209" s="17"/>
      <c r="M209" s="17"/>
      <c r="N209" s="16" t="str">
        <f>HYPERLINK("http://slimages.macys.com/is/image/MCY/21168106 ")</f>
        <v xml:space="preserve">http://slimages.macys.com/is/image/MCY/21168106 </v>
      </c>
      <c r="O209" s="37"/>
    </row>
    <row r="210" spans="1:15" ht="48" x14ac:dyDescent="0.25">
      <c r="A210" s="19" t="s">
        <v>2665</v>
      </c>
      <c r="B210" s="17" t="s">
        <v>2664</v>
      </c>
      <c r="C210" s="20">
        <v>1</v>
      </c>
      <c r="D210" s="18">
        <v>59.5</v>
      </c>
      <c r="E210" s="18">
        <v>59.5</v>
      </c>
      <c r="F210" s="20" t="s">
        <v>368</v>
      </c>
      <c r="G210" s="17" t="s">
        <v>206</v>
      </c>
      <c r="H210" s="19" t="s">
        <v>197</v>
      </c>
      <c r="I210" s="18">
        <v>11.206666666666667</v>
      </c>
      <c r="J210" s="17" t="s">
        <v>56</v>
      </c>
      <c r="K210" s="17" t="s">
        <v>55</v>
      </c>
      <c r="L210" s="17"/>
      <c r="M210" s="17"/>
      <c r="N210" s="16" t="str">
        <f>HYPERLINK("http://slimages.macys.com/is/image/MCY/19019250 ")</f>
        <v xml:space="preserve">http://slimages.macys.com/is/image/MCY/19019250 </v>
      </c>
      <c r="O210" s="37"/>
    </row>
    <row r="211" spans="1:15" ht="48" x14ac:dyDescent="0.25">
      <c r="A211" s="19" t="s">
        <v>2663</v>
      </c>
      <c r="B211" s="17" t="s">
        <v>2662</v>
      </c>
      <c r="C211" s="20">
        <v>1</v>
      </c>
      <c r="D211" s="18">
        <v>59.5</v>
      </c>
      <c r="E211" s="18">
        <v>59.5</v>
      </c>
      <c r="F211" s="20" t="s">
        <v>374</v>
      </c>
      <c r="G211" s="17" t="s">
        <v>282</v>
      </c>
      <c r="H211" s="19" t="s">
        <v>69</v>
      </c>
      <c r="I211" s="18">
        <v>11.206666666666667</v>
      </c>
      <c r="J211" s="17" t="s">
        <v>56</v>
      </c>
      <c r="K211" s="17" t="s">
        <v>55</v>
      </c>
      <c r="L211" s="17"/>
      <c r="M211" s="17"/>
      <c r="N211" s="16" t="str">
        <f>HYPERLINK("http://slimages.macys.com/is/image/MCY/19367312 ")</f>
        <v xml:space="preserve">http://slimages.macys.com/is/image/MCY/19367312 </v>
      </c>
      <c r="O211" s="37"/>
    </row>
    <row r="212" spans="1:15" ht="48" x14ac:dyDescent="0.25">
      <c r="A212" s="19" t="s">
        <v>2661</v>
      </c>
      <c r="B212" s="17" t="s">
        <v>2660</v>
      </c>
      <c r="C212" s="20">
        <v>1</v>
      </c>
      <c r="D212" s="18">
        <v>59.5</v>
      </c>
      <c r="E212" s="18">
        <v>59.5</v>
      </c>
      <c r="F212" s="20" t="s">
        <v>2659</v>
      </c>
      <c r="G212" s="17" t="s">
        <v>206</v>
      </c>
      <c r="H212" s="19" t="s">
        <v>62</v>
      </c>
      <c r="I212" s="18">
        <v>11.206666666666667</v>
      </c>
      <c r="J212" s="17" t="s">
        <v>56</v>
      </c>
      <c r="K212" s="17" t="s">
        <v>55</v>
      </c>
      <c r="L212" s="17"/>
      <c r="M212" s="17"/>
      <c r="N212" s="16" t="str">
        <f>HYPERLINK("http://slimages.macys.com/is/image/MCY/19367507 ")</f>
        <v xml:space="preserve">http://slimages.macys.com/is/image/MCY/19367507 </v>
      </c>
      <c r="O212" s="37"/>
    </row>
    <row r="213" spans="1:15" ht="48" x14ac:dyDescent="0.25">
      <c r="A213" s="19" t="s">
        <v>2658</v>
      </c>
      <c r="B213" s="17" t="s">
        <v>2657</v>
      </c>
      <c r="C213" s="20">
        <v>1</v>
      </c>
      <c r="D213" s="18">
        <v>59.5</v>
      </c>
      <c r="E213" s="18">
        <v>59.5</v>
      </c>
      <c r="F213" s="20" t="s">
        <v>374</v>
      </c>
      <c r="G213" s="17" t="s">
        <v>206</v>
      </c>
      <c r="H213" s="19" t="s">
        <v>197</v>
      </c>
      <c r="I213" s="18">
        <v>11.206666666666667</v>
      </c>
      <c r="J213" s="17" t="s">
        <v>56</v>
      </c>
      <c r="K213" s="17" t="s">
        <v>55</v>
      </c>
      <c r="L213" s="17"/>
      <c r="M213" s="17"/>
      <c r="N213" s="16" t="str">
        <f>HYPERLINK("http://slimages.macys.com/is/image/MCY/19367312 ")</f>
        <v xml:space="preserve">http://slimages.macys.com/is/image/MCY/19367312 </v>
      </c>
      <c r="O213" s="37"/>
    </row>
    <row r="214" spans="1:15" ht="60" x14ac:dyDescent="0.25">
      <c r="A214" s="19" t="s">
        <v>2656</v>
      </c>
      <c r="B214" s="17" t="s">
        <v>2655</v>
      </c>
      <c r="C214" s="20">
        <v>1</v>
      </c>
      <c r="D214" s="18">
        <v>59.5</v>
      </c>
      <c r="E214" s="18">
        <v>59.5</v>
      </c>
      <c r="F214" s="20" t="s">
        <v>2654</v>
      </c>
      <c r="G214" s="17" t="s">
        <v>91</v>
      </c>
      <c r="H214" s="19" t="s">
        <v>69</v>
      </c>
      <c r="I214" s="18">
        <v>11.206666666666667</v>
      </c>
      <c r="J214" s="17" t="s">
        <v>56</v>
      </c>
      <c r="K214" s="17" t="s">
        <v>55</v>
      </c>
      <c r="L214" s="17"/>
      <c r="M214" s="17"/>
      <c r="N214" s="16" t="str">
        <f>HYPERLINK("http://slimages.macys.com/is/image/MCY/19365383 ")</f>
        <v xml:space="preserve">http://slimages.macys.com/is/image/MCY/19365383 </v>
      </c>
      <c r="O214" s="37"/>
    </row>
    <row r="215" spans="1:15" ht="48" x14ac:dyDescent="0.25">
      <c r="A215" s="19" t="s">
        <v>2653</v>
      </c>
      <c r="B215" s="17" t="s">
        <v>2652</v>
      </c>
      <c r="C215" s="20">
        <v>1</v>
      </c>
      <c r="D215" s="18">
        <v>59.5</v>
      </c>
      <c r="E215" s="18">
        <v>59.5</v>
      </c>
      <c r="F215" s="20" t="s">
        <v>374</v>
      </c>
      <c r="G215" s="17" t="s">
        <v>206</v>
      </c>
      <c r="H215" s="19" t="s">
        <v>69</v>
      </c>
      <c r="I215" s="18">
        <v>11.206666666666667</v>
      </c>
      <c r="J215" s="17" t="s">
        <v>56</v>
      </c>
      <c r="K215" s="17" t="s">
        <v>55</v>
      </c>
      <c r="L215" s="17"/>
      <c r="M215" s="17"/>
      <c r="N215" s="16" t="str">
        <f>HYPERLINK("http://slimages.macys.com/is/image/MCY/19367312 ")</f>
        <v xml:space="preserve">http://slimages.macys.com/is/image/MCY/19367312 </v>
      </c>
      <c r="O215" s="37"/>
    </row>
    <row r="216" spans="1:15" ht="48" x14ac:dyDescent="0.25">
      <c r="A216" s="19" t="s">
        <v>1854</v>
      </c>
      <c r="B216" s="17" t="s">
        <v>1853</v>
      </c>
      <c r="C216" s="20">
        <v>1</v>
      </c>
      <c r="D216" s="18">
        <v>59.5</v>
      </c>
      <c r="E216" s="18">
        <v>59.5</v>
      </c>
      <c r="F216" s="20" t="s">
        <v>1086</v>
      </c>
      <c r="G216" s="17" t="s">
        <v>51</v>
      </c>
      <c r="H216" s="19" t="s">
        <v>74</v>
      </c>
      <c r="I216" s="18">
        <v>11.206666666666667</v>
      </c>
      <c r="J216" s="17" t="s">
        <v>56</v>
      </c>
      <c r="K216" s="17" t="s">
        <v>55</v>
      </c>
      <c r="L216" s="17"/>
      <c r="M216" s="17"/>
      <c r="N216" s="16" t="str">
        <f>HYPERLINK("http://slimages.macys.com/is/image/MCY/19182892 ")</f>
        <v xml:space="preserve">http://slimages.macys.com/is/image/MCY/19182892 </v>
      </c>
      <c r="O216" s="37"/>
    </row>
    <row r="217" spans="1:15" ht="48" x14ac:dyDescent="0.25">
      <c r="A217" s="19" t="s">
        <v>2651</v>
      </c>
      <c r="B217" s="17" t="s">
        <v>2650</v>
      </c>
      <c r="C217" s="20">
        <v>1</v>
      </c>
      <c r="D217" s="18">
        <v>59.5</v>
      </c>
      <c r="E217" s="18">
        <v>59.5</v>
      </c>
      <c r="F217" s="20" t="s">
        <v>1086</v>
      </c>
      <c r="G217" s="17" t="s">
        <v>51</v>
      </c>
      <c r="H217" s="19" t="s">
        <v>69</v>
      </c>
      <c r="I217" s="18">
        <v>11.206666666666667</v>
      </c>
      <c r="J217" s="17" t="s">
        <v>56</v>
      </c>
      <c r="K217" s="17" t="s">
        <v>55</v>
      </c>
      <c r="L217" s="17"/>
      <c r="M217" s="17"/>
      <c r="N217" s="16" t="str">
        <f>HYPERLINK("http://slimages.macys.com/is/image/MCY/19182892 ")</f>
        <v xml:space="preserve">http://slimages.macys.com/is/image/MCY/19182892 </v>
      </c>
      <c r="O217" s="37"/>
    </row>
    <row r="218" spans="1:15" ht="60" x14ac:dyDescent="0.25">
      <c r="A218" s="19" t="s">
        <v>2649</v>
      </c>
      <c r="B218" s="17" t="s">
        <v>2648</v>
      </c>
      <c r="C218" s="20">
        <v>1</v>
      </c>
      <c r="D218" s="18">
        <v>59.5</v>
      </c>
      <c r="E218" s="18">
        <v>59.5</v>
      </c>
      <c r="F218" s="20" t="s">
        <v>374</v>
      </c>
      <c r="G218" s="17" t="s">
        <v>91</v>
      </c>
      <c r="H218" s="19" t="s">
        <v>74</v>
      </c>
      <c r="I218" s="18">
        <v>11.206666666666667</v>
      </c>
      <c r="J218" s="17" t="s">
        <v>56</v>
      </c>
      <c r="K218" s="17" t="s">
        <v>55</v>
      </c>
      <c r="L218" s="17"/>
      <c r="M218" s="17"/>
      <c r="N218" s="16" t="str">
        <f>HYPERLINK("http://slimages.macys.com/is/image/MCY/19367312 ")</f>
        <v xml:space="preserve">http://slimages.macys.com/is/image/MCY/19367312 </v>
      </c>
      <c r="O218" s="37"/>
    </row>
    <row r="219" spans="1:15" ht="48" x14ac:dyDescent="0.25">
      <c r="A219" s="19" t="s">
        <v>2647</v>
      </c>
      <c r="B219" s="17" t="s">
        <v>2646</v>
      </c>
      <c r="C219" s="20">
        <v>1</v>
      </c>
      <c r="D219" s="18">
        <v>59.5</v>
      </c>
      <c r="E219" s="18">
        <v>59.5</v>
      </c>
      <c r="F219" s="20" t="s">
        <v>2645</v>
      </c>
      <c r="G219" s="17" t="s">
        <v>28</v>
      </c>
      <c r="H219" s="19" t="s">
        <v>197</v>
      </c>
      <c r="I219" s="18">
        <v>11.206666666666667</v>
      </c>
      <c r="J219" s="17" t="s">
        <v>68</v>
      </c>
      <c r="K219" s="17" t="s">
        <v>67</v>
      </c>
      <c r="L219" s="17"/>
      <c r="M219" s="17"/>
      <c r="N219" s="16" t="str">
        <f>HYPERLINK("http://slimages.macys.com/is/image/MCY/18706276 ")</f>
        <v xml:space="preserve">http://slimages.macys.com/is/image/MCY/18706276 </v>
      </c>
      <c r="O219" s="37"/>
    </row>
    <row r="220" spans="1:15" ht="48" x14ac:dyDescent="0.25">
      <c r="A220" s="19" t="s">
        <v>2644</v>
      </c>
      <c r="B220" s="17" t="s">
        <v>2643</v>
      </c>
      <c r="C220" s="20">
        <v>1</v>
      </c>
      <c r="D220" s="18">
        <v>59.5</v>
      </c>
      <c r="E220" s="18">
        <v>59.5</v>
      </c>
      <c r="F220" s="20" t="s">
        <v>2642</v>
      </c>
      <c r="G220" s="17" t="s">
        <v>63</v>
      </c>
      <c r="H220" s="19" t="s">
        <v>74</v>
      </c>
      <c r="I220" s="18">
        <v>11.206666666666667</v>
      </c>
      <c r="J220" s="17" t="s">
        <v>56</v>
      </c>
      <c r="K220" s="17" t="s">
        <v>55</v>
      </c>
      <c r="L220" s="17"/>
      <c r="M220" s="17"/>
      <c r="N220" s="16" t="str">
        <f>HYPERLINK("http://slimages.macys.com/is/image/MCY/19019912 ")</f>
        <v xml:space="preserve">http://slimages.macys.com/is/image/MCY/19019912 </v>
      </c>
      <c r="O220" s="37"/>
    </row>
    <row r="221" spans="1:15" ht="48" x14ac:dyDescent="0.25">
      <c r="A221" s="19" t="s">
        <v>1088</v>
      </c>
      <c r="B221" s="17" t="s">
        <v>1087</v>
      </c>
      <c r="C221" s="20">
        <v>3</v>
      </c>
      <c r="D221" s="18">
        <v>59.5</v>
      </c>
      <c r="E221" s="18">
        <v>178.5</v>
      </c>
      <c r="F221" s="20" t="s">
        <v>1086</v>
      </c>
      <c r="G221" s="17" t="s">
        <v>51</v>
      </c>
      <c r="H221" s="19" t="s">
        <v>57</v>
      </c>
      <c r="I221" s="18">
        <v>11.206666666666667</v>
      </c>
      <c r="J221" s="17" t="s">
        <v>56</v>
      </c>
      <c r="K221" s="17" t="s">
        <v>55</v>
      </c>
      <c r="L221" s="17"/>
      <c r="M221" s="17"/>
      <c r="N221" s="16" t="str">
        <f>HYPERLINK("http://slimages.macys.com/is/image/MCY/19182892 ")</f>
        <v xml:space="preserve">http://slimages.macys.com/is/image/MCY/19182892 </v>
      </c>
      <c r="O221" s="37"/>
    </row>
    <row r="222" spans="1:15" ht="60" x14ac:dyDescent="0.25">
      <c r="A222" s="19" t="s">
        <v>2641</v>
      </c>
      <c r="B222" s="17" t="s">
        <v>1911</v>
      </c>
      <c r="C222" s="20">
        <v>1</v>
      </c>
      <c r="D222" s="18">
        <v>59</v>
      </c>
      <c r="E222" s="18">
        <v>59</v>
      </c>
      <c r="F222" s="20" t="s">
        <v>2635</v>
      </c>
      <c r="G222" s="17" t="s">
        <v>272</v>
      </c>
      <c r="H222" s="19" t="s">
        <v>74</v>
      </c>
      <c r="I222" s="18">
        <v>11.106666666666667</v>
      </c>
      <c r="J222" s="17" t="s">
        <v>56</v>
      </c>
      <c r="K222" s="17" t="s">
        <v>55</v>
      </c>
      <c r="L222" s="17" t="s">
        <v>389</v>
      </c>
      <c r="M222" s="17" t="s">
        <v>2634</v>
      </c>
      <c r="N222" s="16" t="str">
        <f>HYPERLINK("http://slimages.macys.com/is/image/MCY/13985479 ")</f>
        <v xml:space="preserve">http://slimages.macys.com/is/image/MCY/13985479 </v>
      </c>
      <c r="O222" s="37"/>
    </row>
    <row r="223" spans="1:15" ht="48" x14ac:dyDescent="0.25">
      <c r="A223" s="19" t="s">
        <v>2640</v>
      </c>
      <c r="B223" s="17" t="s">
        <v>2639</v>
      </c>
      <c r="C223" s="20">
        <v>1</v>
      </c>
      <c r="D223" s="18">
        <v>59</v>
      </c>
      <c r="E223" s="18">
        <v>59</v>
      </c>
      <c r="F223" s="20" t="s">
        <v>2638</v>
      </c>
      <c r="G223" s="17" t="s">
        <v>28</v>
      </c>
      <c r="H223" s="19" t="s">
        <v>27</v>
      </c>
      <c r="I223" s="18">
        <v>11.106666666666667</v>
      </c>
      <c r="J223" s="17" t="s">
        <v>56</v>
      </c>
      <c r="K223" s="17" t="s">
        <v>55</v>
      </c>
      <c r="L223" s="17" t="s">
        <v>389</v>
      </c>
      <c r="M223" s="17" t="s">
        <v>1129</v>
      </c>
      <c r="N223" s="16" t="str">
        <f>HYPERLINK("http://slimages.macys.com/is/image/MCY/14443374 ")</f>
        <v xml:space="preserve">http://slimages.macys.com/is/image/MCY/14443374 </v>
      </c>
      <c r="O223" s="37"/>
    </row>
    <row r="224" spans="1:15" ht="60" x14ac:dyDescent="0.25">
      <c r="A224" s="19" t="s">
        <v>2637</v>
      </c>
      <c r="B224" s="17" t="s">
        <v>2636</v>
      </c>
      <c r="C224" s="20">
        <v>1</v>
      </c>
      <c r="D224" s="18">
        <v>59</v>
      </c>
      <c r="E224" s="18">
        <v>59</v>
      </c>
      <c r="F224" s="20" t="s">
        <v>2635</v>
      </c>
      <c r="G224" s="17" t="s">
        <v>272</v>
      </c>
      <c r="H224" s="19" t="s">
        <v>27</v>
      </c>
      <c r="I224" s="18">
        <v>11.106666666666667</v>
      </c>
      <c r="J224" s="17" t="s">
        <v>56</v>
      </c>
      <c r="K224" s="17" t="s">
        <v>55</v>
      </c>
      <c r="L224" s="17" t="s">
        <v>389</v>
      </c>
      <c r="M224" s="17" t="s">
        <v>2634</v>
      </c>
      <c r="N224" s="16" t="str">
        <f>HYPERLINK("http://slimages.macys.com/is/image/MCY/13985479 ")</f>
        <v xml:space="preserve">http://slimages.macys.com/is/image/MCY/13985479 </v>
      </c>
      <c r="O224" s="37"/>
    </row>
    <row r="225" spans="1:15" ht="48" x14ac:dyDescent="0.25">
      <c r="A225" s="19" t="s">
        <v>2633</v>
      </c>
      <c r="B225" s="17" t="s">
        <v>2632</v>
      </c>
      <c r="C225" s="20">
        <v>1</v>
      </c>
      <c r="D225" s="18">
        <v>59.5</v>
      </c>
      <c r="E225" s="18">
        <v>59.5</v>
      </c>
      <c r="F225" s="20" t="s">
        <v>2631</v>
      </c>
      <c r="G225" s="17" t="s">
        <v>70</v>
      </c>
      <c r="H225" s="19" t="s">
        <v>139</v>
      </c>
      <c r="I225" s="18">
        <v>10.906666666666666</v>
      </c>
      <c r="J225" s="17" t="s">
        <v>267</v>
      </c>
      <c r="K225" s="17" t="s">
        <v>32</v>
      </c>
      <c r="L225" s="17"/>
      <c r="M225" s="17"/>
      <c r="N225" s="16" t="str">
        <f>HYPERLINK("http://slimages.macys.com/is/image/MCY/18747668 ")</f>
        <v xml:space="preserve">http://slimages.macys.com/is/image/MCY/18747668 </v>
      </c>
      <c r="O225" s="37"/>
    </row>
    <row r="226" spans="1:15" ht="48" x14ac:dyDescent="0.25">
      <c r="A226" s="19" t="s">
        <v>2630</v>
      </c>
      <c r="B226" s="17" t="s">
        <v>2629</v>
      </c>
      <c r="C226" s="20">
        <v>1</v>
      </c>
      <c r="D226" s="18">
        <v>55</v>
      </c>
      <c r="E226" s="18">
        <v>55</v>
      </c>
      <c r="F226" s="20" t="s">
        <v>2628</v>
      </c>
      <c r="G226" s="17" t="s">
        <v>85</v>
      </c>
      <c r="H226" s="19" t="s">
        <v>17</v>
      </c>
      <c r="I226" s="18">
        <v>10.9</v>
      </c>
      <c r="J226" s="17" t="s">
        <v>16</v>
      </c>
      <c r="K226" s="17" t="s">
        <v>15</v>
      </c>
      <c r="L226" s="17"/>
      <c r="M226" s="17"/>
      <c r="N226" s="16" t="str">
        <f>HYPERLINK("http://slimages.macys.com/is/image/MCY/18438496 ")</f>
        <v xml:space="preserve">http://slimages.macys.com/is/image/MCY/18438496 </v>
      </c>
      <c r="O226" s="37"/>
    </row>
    <row r="227" spans="1:15" ht="36" x14ac:dyDescent="0.25">
      <c r="A227" s="19" t="s">
        <v>2627</v>
      </c>
      <c r="B227" s="17" t="s">
        <v>2626</v>
      </c>
      <c r="C227" s="20">
        <v>2</v>
      </c>
      <c r="D227" s="18">
        <v>59</v>
      </c>
      <c r="E227" s="18">
        <v>118</v>
      </c>
      <c r="F227" s="20" t="s">
        <v>2625</v>
      </c>
      <c r="G227" s="17" t="s">
        <v>1408</v>
      </c>
      <c r="H227" s="19" t="s">
        <v>43</v>
      </c>
      <c r="I227" s="18">
        <v>10.893333333333333</v>
      </c>
      <c r="J227" s="17" t="s">
        <v>405</v>
      </c>
      <c r="K227" s="17" t="s">
        <v>404</v>
      </c>
      <c r="L227" s="17"/>
      <c r="M227" s="17"/>
      <c r="N227" s="16" t="str">
        <f>HYPERLINK("http://slimages.macys.com/is/image/MCY/19217235 ")</f>
        <v xml:space="preserve">http://slimages.macys.com/is/image/MCY/19217235 </v>
      </c>
      <c r="O227" s="37"/>
    </row>
    <row r="228" spans="1:15" ht="48" x14ac:dyDescent="0.25">
      <c r="A228" s="19" t="s">
        <v>2624</v>
      </c>
      <c r="B228" s="17" t="s">
        <v>2623</v>
      </c>
      <c r="C228" s="20">
        <v>1</v>
      </c>
      <c r="D228" s="18">
        <v>59</v>
      </c>
      <c r="E228" s="18">
        <v>59</v>
      </c>
      <c r="F228" s="20" t="s">
        <v>2622</v>
      </c>
      <c r="G228" s="17" t="s">
        <v>2575</v>
      </c>
      <c r="H228" s="19" t="s">
        <v>43</v>
      </c>
      <c r="I228" s="18">
        <v>10.893333333333333</v>
      </c>
      <c r="J228" s="17" t="s">
        <v>405</v>
      </c>
      <c r="K228" s="17" t="s">
        <v>404</v>
      </c>
      <c r="L228" s="17"/>
      <c r="M228" s="17"/>
      <c r="N228" s="16" t="str">
        <f>HYPERLINK("http://slimages.macys.com/is/image/MCY/18867810 ")</f>
        <v xml:space="preserve">http://slimages.macys.com/is/image/MCY/18867810 </v>
      </c>
      <c r="O228" s="37"/>
    </row>
    <row r="229" spans="1:15" ht="60" x14ac:dyDescent="0.25">
      <c r="A229" s="19" t="s">
        <v>2621</v>
      </c>
      <c r="B229" s="17" t="s">
        <v>2620</v>
      </c>
      <c r="C229" s="20">
        <v>1</v>
      </c>
      <c r="D229" s="18">
        <v>49</v>
      </c>
      <c r="E229" s="18">
        <v>49</v>
      </c>
      <c r="F229" s="20" t="s">
        <v>331</v>
      </c>
      <c r="G229" s="17" t="s">
        <v>544</v>
      </c>
      <c r="H229" s="19" t="s">
        <v>22</v>
      </c>
      <c r="I229" s="18">
        <v>10.813333333333334</v>
      </c>
      <c r="J229" s="17" t="s">
        <v>49</v>
      </c>
      <c r="K229" s="17" t="s">
        <v>48</v>
      </c>
      <c r="L229" s="17"/>
      <c r="M229" s="17"/>
      <c r="N229" s="16" t="str">
        <f>HYPERLINK("http://slimages.macys.com/is/image/MCY/19635002 ")</f>
        <v xml:space="preserve">http://slimages.macys.com/is/image/MCY/19635002 </v>
      </c>
      <c r="O229" s="37"/>
    </row>
    <row r="230" spans="1:15" ht="48" x14ac:dyDescent="0.25">
      <c r="A230" s="19" t="s">
        <v>1847</v>
      </c>
      <c r="B230" s="17" t="s">
        <v>1846</v>
      </c>
      <c r="C230" s="20">
        <v>7</v>
      </c>
      <c r="D230" s="18">
        <v>49</v>
      </c>
      <c r="E230" s="18">
        <v>343</v>
      </c>
      <c r="F230" s="20" t="s">
        <v>1840</v>
      </c>
      <c r="G230" s="17" t="s">
        <v>881</v>
      </c>
      <c r="H230" s="19" t="s">
        <v>62</v>
      </c>
      <c r="I230" s="18">
        <v>10.813333333333334</v>
      </c>
      <c r="J230" s="17" t="s">
        <v>49</v>
      </c>
      <c r="K230" s="17" t="s">
        <v>48</v>
      </c>
      <c r="L230" s="17"/>
      <c r="M230" s="17"/>
      <c r="N230" s="16" t="str">
        <f>HYPERLINK("http://slimages.macys.com/is/image/MCY/19349082 ")</f>
        <v xml:space="preserve">http://slimages.macys.com/is/image/MCY/19349082 </v>
      </c>
      <c r="O230" s="37"/>
    </row>
    <row r="231" spans="1:15" ht="48" x14ac:dyDescent="0.25">
      <c r="A231" s="19" t="s">
        <v>1845</v>
      </c>
      <c r="B231" s="17" t="s">
        <v>1844</v>
      </c>
      <c r="C231" s="20">
        <v>1</v>
      </c>
      <c r="D231" s="18">
        <v>49</v>
      </c>
      <c r="E231" s="18">
        <v>49</v>
      </c>
      <c r="F231" s="20" t="s">
        <v>1843</v>
      </c>
      <c r="G231" s="17" t="s">
        <v>562</v>
      </c>
      <c r="H231" s="19" t="s">
        <v>1140</v>
      </c>
      <c r="I231" s="18">
        <v>10.813333333333334</v>
      </c>
      <c r="J231" s="17" t="s">
        <v>49</v>
      </c>
      <c r="K231" s="17" t="s">
        <v>48</v>
      </c>
      <c r="L231" s="17"/>
      <c r="M231" s="17"/>
      <c r="N231" s="16" t="str">
        <f>HYPERLINK("http://slimages.macys.com/is/image/MCY/19191520 ")</f>
        <v xml:space="preserve">http://slimages.macys.com/is/image/MCY/19191520 </v>
      </c>
      <c r="O231" s="37"/>
    </row>
    <row r="232" spans="1:15" ht="48" x14ac:dyDescent="0.25">
      <c r="A232" s="19" t="s">
        <v>2619</v>
      </c>
      <c r="B232" s="17" t="s">
        <v>2618</v>
      </c>
      <c r="C232" s="20">
        <v>1</v>
      </c>
      <c r="D232" s="18">
        <v>49</v>
      </c>
      <c r="E232" s="18">
        <v>49</v>
      </c>
      <c r="F232" s="20" t="s">
        <v>1840</v>
      </c>
      <c r="G232" s="17" t="s">
        <v>140</v>
      </c>
      <c r="H232" s="19" t="s">
        <v>62</v>
      </c>
      <c r="I232" s="18">
        <v>10.813333333333334</v>
      </c>
      <c r="J232" s="17" t="s">
        <v>49</v>
      </c>
      <c r="K232" s="17" t="s">
        <v>48</v>
      </c>
      <c r="L232" s="17"/>
      <c r="M232" s="17"/>
      <c r="N232" s="16" t="str">
        <f>HYPERLINK("http://slimages.macys.com/is/image/MCY/19349082 ")</f>
        <v xml:space="preserve">http://slimages.macys.com/is/image/MCY/19349082 </v>
      </c>
      <c r="O232" s="37"/>
    </row>
    <row r="233" spans="1:15" ht="60" x14ac:dyDescent="0.25">
      <c r="A233" s="19" t="s">
        <v>2617</v>
      </c>
      <c r="B233" s="17" t="s">
        <v>2616</v>
      </c>
      <c r="C233" s="20">
        <v>1</v>
      </c>
      <c r="D233" s="18">
        <v>49</v>
      </c>
      <c r="E233" s="18">
        <v>49</v>
      </c>
      <c r="F233" s="20" t="s">
        <v>331</v>
      </c>
      <c r="G233" s="17" t="s">
        <v>544</v>
      </c>
      <c r="H233" s="19" t="s">
        <v>17</v>
      </c>
      <c r="I233" s="18">
        <v>10.813333333333334</v>
      </c>
      <c r="J233" s="17" t="s">
        <v>49</v>
      </c>
      <c r="K233" s="17" t="s">
        <v>48</v>
      </c>
      <c r="L233" s="17"/>
      <c r="M233" s="17"/>
      <c r="N233" s="16" t="str">
        <f>HYPERLINK("http://slimages.macys.com/is/image/MCY/19635002 ")</f>
        <v xml:space="preserve">http://slimages.macys.com/is/image/MCY/19635002 </v>
      </c>
      <c r="O233" s="37"/>
    </row>
    <row r="234" spans="1:15" ht="48" x14ac:dyDescent="0.25">
      <c r="A234" s="19" t="s">
        <v>2615</v>
      </c>
      <c r="B234" s="17" t="s">
        <v>2614</v>
      </c>
      <c r="C234" s="20">
        <v>1</v>
      </c>
      <c r="D234" s="18">
        <v>41.3</v>
      </c>
      <c r="E234" s="18">
        <v>41.3</v>
      </c>
      <c r="F234" s="20" t="s">
        <v>1074</v>
      </c>
      <c r="G234" s="17" t="s">
        <v>63</v>
      </c>
      <c r="H234" s="19" t="s">
        <v>69</v>
      </c>
      <c r="I234" s="18">
        <v>10.773333333333335</v>
      </c>
      <c r="J234" s="17" t="s">
        <v>42</v>
      </c>
      <c r="K234" s="17" t="s">
        <v>41</v>
      </c>
      <c r="L234" s="17"/>
      <c r="M234" s="17"/>
      <c r="N234" s="16" t="str">
        <f>HYPERLINK("http://slimages.macys.com/is/image/MCY/18757359 ")</f>
        <v xml:space="preserve">http://slimages.macys.com/is/image/MCY/18757359 </v>
      </c>
      <c r="O234" s="37"/>
    </row>
    <row r="235" spans="1:15" ht="48" x14ac:dyDescent="0.25">
      <c r="A235" s="19" t="s">
        <v>2613</v>
      </c>
      <c r="B235" s="17" t="s">
        <v>2612</v>
      </c>
      <c r="C235" s="20">
        <v>7</v>
      </c>
      <c r="D235" s="18">
        <v>41.3</v>
      </c>
      <c r="E235" s="18">
        <v>289.10000000000002</v>
      </c>
      <c r="F235" s="20" t="s">
        <v>1074</v>
      </c>
      <c r="G235" s="17" t="s">
        <v>58</v>
      </c>
      <c r="H235" s="19" t="s">
        <v>69</v>
      </c>
      <c r="I235" s="18">
        <v>10.773333333333335</v>
      </c>
      <c r="J235" s="17" t="s">
        <v>42</v>
      </c>
      <c r="K235" s="17" t="s">
        <v>41</v>
      </c>
      <c r="L235" s="17"/>
      <c r="M235" s="17"/>
      <c r="N235" s="16" t="str">
        <f>HYPERLINK("http://slimages.macys.com/is/image/MCY/18757364 ")</f>
        <v xml:space="preserve">http://slimages.macys.com/is/image/MCY/18757364 </v>
      </c>
      <c r="O235" s="37"/>
    </row>
    <row r="236" spans="1:15" ht="48" x14ac:dyDescent="0.25">
      <c r="A236" s="19" t="s">
        <v>1076</v>
      </c>
      <c r="B236" s="17" t="s">
        <v>1075</v>
      </c>
      <c r="C236" s="20">
        <v>3</v>
      </c>
      <c r="D236" s="18">
        <v>41.3</v>
      </c>
      <c r="E236" s="18">
        <v>123.9</v>
      </c>
      <c r="F236" s="20" t="s">
        <v>1074</v>
      </c>
      <c r="G236" s="17" t="s">
        <v>58</v>
      </c>
      <c r="H236" s="19" t="s">
        <v>74</v>
      </c>
      <c r="I236" s="18">
        <v>10.773333333333335</v>
      </c>
      <c r="J236" s="17" t="s">
        <v>42</v>
      </c>
      <c r="K236" s="17" t="s">
        <v>41</v>
      </c>
      <c r="L236" s="17"/>
      <c r="M236" s="17"/>
      <c r="N236" s="16" t="str">
        <f>HYPERLINK("http://slimages.macys.com/is/image/MCY/18757364 ")</f>
        <v xml:space="preserve">http://slimages.macys.com/is/image/MCY/18757364 </v>
      </c>
      <c r="O236" s="37"/>
    </row>
    <row r="237" spans="1:15" ht="48" x14ac:dyDescent="0.25">
      <c r="A237" s="19" t="s">
        <v>2611</v>
      </c>
      <c r="B237" s="17" t="s">
        <v>2610</v>
      </c>
      <c r="C237" s="20">
        <v>6</v>
      </c>
      <c r="D237" s="18">
        <v>41.3</v>
      </c>
      <c r="E237" s="18">
        <v>247.8</v>
      </c>
      <c r="F237" s="20" t="s">
        <v>1074</v>
      </c>
      <c r="G237" s="17" t="s">
        <v>63</v>
      </c>
      <c r="H237" s="19" t="s">
        <v>62</v>
      </c>
      <c r="I237" s="18">
        <v>10.773333333333335</v>
      </c>
      <c r="J237" s="17" t="s">
        <v>42</v>
      </c>
      <c r="K237" s="17" t="s">
        <v>41</v>
      </c>
      <c r="L237" s="17"/>
      <c r="M237" s="17"/>
      <c r="N237" s="16" t="str">
        <f>HYPERLINK("http://slimages.macys.com/is/image/MCY/18757364 ")</f>
        <v xml:space="preserve">http://slimages.macys.com/is/image/MCY/18757364 </v>
      </c>
      <c r="O237" s="37"/>
    </row>
    <row r="238" spans="1:15" ht="60" x14ac:dyDescent="0.25">
      <c r="A238" s="19" t="s">
        <v>2609</v>
      </c>
      <c r="B238" s="17" t="s">
        <v>2608</v>
      </c>
      <c r="C238" s="20">
        <v>1</v>
      </c>
      <c r="D238" s="18">
        <v>38</v>
      </c>
      <c r="E238" s="18">
        <v>38</v>
      </c>
      <c r="F238" s="20" t="s">
        <v>2607</v>
      </c>
      <c r="G238" s="17" t="s">
        <v>28</v>
      </c>
      <c r="H238" s="19" t="s">
        <v>62</v>
      </c>
      <c r="I238" s="18">
        <v>10.64</v>
      </c>
      <c r="J238" s="17" t="s">
        <v>80</v>
      </c>
      <c r="K238" s="17" t="s">
        <v>79</v>
      </c>
      <c r="L238" s="17"/>
      <c r="M238" s="17"/>
      <c r="N238" s="16" t="str">
        <f>HYPERLINK("http://slimages.macys.com/is/image/MCY/18568110 ")</f>
        <v xml:space="preserve">http://slimages.macys.com/is/image/MCY/18568110 </v>
      </c>
      <c r="O238" s="37"/>
    </row>
    <row r="239" spans="1:15" ht="36" x14ac:dyDescent="0.25">
      <c r="A239" s="19" t="s">
        <v>320</v>
      </c>
      <c r="B239" s="17" t="s">
        <v>319</v>
      </c>
      <c r="C239" s="20">
        <v>5</v>
      </c>
      <c r="D239" s="18">
        <v>35</v>
      </c>
      <c r="E239" s="18">
        <v>175</v>
      </c>
      <c r="F239" s="20" t="s">
        <v>318</v>
      </c>
      <c r="G239" s="17" t="s">
        <v>23</v>
      </c>
      <c r="H239" s="19" t="s">
        <v>22</v>
      </c>
      <c r="I239" s="18">
        <v>10.633333333333333</v>
      </c>
      <c r="J239" s="17" t="s">
        <v>16</v>
      </c>
      <c r="K239" s="17" t="s">
        <v>15</v>
      </c>
      <c r="L239" s="17"/>
      <c r="M239" s="17"/>
      <c r="N239" s="16" t="str">
        <f>HYPERLINK("http://slimages.macys.com/is/image/MCY/18798857 ")</f>
        <v xml:space="preserve">http://slimages.macys.com/is/image/MCY/18798857 </v>
      </c>
      <c r="O239" s="37"/>
    </row>
    <row r="240" spans="1:15" ht="48" x14ac:dyDescent="0.25">
      <c r="A240" s="19" t="s">
        <v>2606</v>
      </c>
      <c r="B240" s="17" t="s">
        <v>2605</v>
      </c>
      <c r="C240" s="20">
        <v>1</v>
      </c>
      <c r="D240" s="18">
        <v>69</v>
      </c>
      <c r="E240" s="18">
        <v>69</v>
      </c>
      <c r="F240" s="20">
        <v>2331306</v>
      </c>
      <c r="G240" s="17" t="s">
        <v>28</v>
      </c>
      <c r="H240" s="19" t="s">
        <v>101</v>
      </c>
      <c r="I240" s="18">
        <v>10</v>
      </c>
      <c r="J240" s="17" t="s">
        <v>80</v>
      </c>
      <c r="K240" s="17" t="s">
        <v>293</v>
      </c>
      <c r="L240" s="17"/>
      <c r="M240" s="17"/>
      <c r="N240" s="16" t="str">
        <f>HYPERLINK("http://slimages.macys.com/is/image/MCY/19109623 ")</f>
        <v xml:space="preserve">http://slimages.macys.com/is/image/MCY/19109623 </v>
      </c>
      <c r="O240" s="37"/>
    </row>
    <row r="241" spans="1:15" ht="48" x14ac:dyDescent="0.25">
      <c r="A241" s="19" t="s">
        <v>2604</v>
      </c>
      <c r="B241" s="17" t="s">
        <v>2603</v>
      </c>
      <c r="C241" s="20">
        <v>1</v>
      </c>
      <c r="D241" s="18">
        <v>54.5</v>
      </c>
      <c r="E241" s="18">
        <v>54.5</v>
      </c>
      <c r="F241" s="20" t="s">
        <v>1827</v>
      </c>
      <c r="G241" s="17" t="s">
        <v>140</v>
      </c>
      <c r="H241" s="19" t="s">
        <v>351</v>
      </c>
      <c r="I241" s="18">
        <v>9.9933333333333341</v>
      </c>
      <c r="J241" s="17" t="s">
        <v>267</v>
      </c>
      <c r="K241" s="17" t="s">
        <v>32</v>
      </c>
      <c r="L241" s="17"/>
      <c r="M241" s="17"/>
      <c r="N241" s="16" t="str">
        <f>HYPERLINK("http://slimages.macys.com/is/image/MCY/19124153 ")</f>
        <v xml:space="preserve">http://slimages.macys.com/is/image/MCY/19124153 </v>
      </c>
      <c r="O241" s="37"/>
    </row>
    <row r="242" spans="1:15" ht="48" x14ac:dyDescent="0.25">
      <c r="A242" s="19" t="s">
        <v>2602</v>
      </c>
      <c r="B242" s="17" t="s">
        <v>2601</v>
      </c>
      <c r="C242" s="20">
        <v>1</v>
      </c>
      <c r="D242" s="18">
        <v>59</v>
      </c>
      <c r="E242" s="18">
        <v>59</v>
      </c>
      <c r="F242" s="20">
        <v>8158020</v>
      </c>
      <c r="G242" s="17" t="s">
        <v>508</v>
      </c>
      <c r="H242" s="19" t="s">
        <v>22</v>
      </c>
      <c r="I242" s="18">
        <v>9.8333333333333339</v>
      </c>
      <c r="J242" s="17" t="s">
        <v>129</v>
      </c>
      <c r="K242" s="17" t="s">
        <v>128</v>
      </c>
      <c r="L242" s="17" t="s">
        <v>389</v>
      </c>
      <c r="M242" s="17" t="s">
        <v>2600</v>
      </c>
      <c r="N242" s="16" t="str">
        <f>HYPERLINK("http://slimages.macys.com/is/image/MCY/14464530 ")</f>
        <v xml:space="preserve">http://slimages.macys.com/is/image/MCY/14464530 </v>
      </c>
      <c r="O242" s="37"/>
    </row>
    <row r="243" spans="1:15" ht="48" x14ac:dyDescent="0.25">
      <c r="A243" s="19" t="s">
        <v>2599</v>
      </c>
      <c r="B243" s="17" t="s">
        <v>2598</v>
      </c>
      <c r="C243" s="20">
        <v>1</v>
      </c>
      <c r="D243" s="18">
        <v>44</v>
      </c>
      <c r="E243" s="18">
        <v>44</v>
      </c>
      <c r="F243" s="20" t="s">
        <v>2597</v>
      </c>
      <c r="G243" s="17" t="s">
        <v>23</v>
      </c>
      <c r="H243" s="19" t="s">
        <v>62</v>
      </c>
      <c r="I243" s="18">
        <v>9.706666666666667</v>
      </c>
      <c r="J243" s="17" t="s">
        <v>49</v>
      </c>
      <c r="K243" s="17" t="s">
        <v>48</v>
      </c>
      <c r="L243" s="17"/>
      <c r="M243" s="17"/>
      <c r="N243" s="16" t="str">
        <f>HYPERLINK("http://slimages.macys.com/is/image/MCY/19194005 ")</f>
        <v xml:space="preserve">http://slimages.macys.com/is/image/MCY/19194005 </v>
      </c>
      <c r="O243" s="37"/>
    </row>
    <row r="244" spans="1:15" ht="48" x14ac:dyDescent="0.25">
      <c r="A244" s="19" t="s">
        <v>2596</v>
      </c>
      <c r="B244" s="17" t="s">
        <v>2595</v>
      </c>
      <c r="C244" s="20">
        <v>4</v>
      </c>
      <c r="D244" s="18">
        <v>44</v>
      </c>
      <c r="E244" s="18">
        <v>176</v>
      </c>
      <c r="F244" s="20" t="s">
        <v>302</v>
      </c>
      <c r="G244" s="17" t="s">
        <v>23</v>
      </c>
      <c r="H244" s="19" t="s">
        <v>101</v>
      </c>
      <c r="I244" s="18">
        <v>9.706666666666667</v>
      </c>
      <c r="J244" s="17" t="s">
        <v>49</v>
      </c>
      <c r="K244" s="17" t="s">
        <v>48</v>
      </c>
      <c r="L244" s="17"/>
      <c r="M244" s="17"/>
      <c r="N244" s="16" t="str">
        <f>HYPERLINK("http://slimages.macys.com/is/image/MCY/19352470 ")</f>
        <v xml:space="preserve">http://slimages.macys.com/is/image/MCY/19352470 </v>
      </c>
      <c r="O244" s="37"/>
    </row>
    <row r="245" spans="1:15" ht="48" x14ac:dyDescent="0.25">
      <c r="A245" s="19" t="s">
        <v>1057</v>
      </c>
      <c r="B245" s="17" t="s">
        <v>1056</v>
      </c>
      <c r="C245" s="20">
        <v>4</v>
      </c>
      <c r="D245" s="18">
        <v>44</v>
      </c>
      <c r="E245" s="18">
        <v>176</v>
      </c>
      <c r="F245" s="20" t="s">
        <v>302</v>
      </c>
      <c r="G245" s="17" t="s">
        <v>23</v>
      </c>
      <c r="H245" s="19" t="s">
        <v>17</v>
      </c>
      <c r="I245" s="18">
        <v>9.706666666666667</v>
      </c>
      <c r="J245" s="17" t="s">
        <v>49</v>
      </c>
      <c r="K245" s="17" t="s">
        <v>48</v>
      </c>
      <c r="L245" s="17"/>
      <c r="M245" s="17"/>
      <c r="N245" s="16" t="str">
        <f>HYPERLINK("http://slimages.macys.com/is/image/MCY/19352470 ")</f>
        <v xml:space="preserve">http://slimages.macys.com/is/image/MCY/19352470 </v>
      </c>
      <c r="O245" s="37"/>
    </row>
    <row r="246" spans="1:15" ht="36" x14ac:dyDescent="0.25">
      <c r="A246" s="19" t="s">
        <v>2594</v>
      </c>
      <c r="B246" s="17" t="s">
        <v>2593</v>
      </c>
      <c r="C246" s="20">
        <v>1</v>
      </c>
      <c r="D246" s="18">
        <v>44</v>
      </c>
      <c r="E246" s="18">
        <v>44</v>
      </c>
      <c r="F246" s="20" t="s">
        <v>305</v>
      </c>
      <c r="G246" s="17" t="s">
        <v>216</v>
      </c>
      <c r="H246" s="19" t="s">
        <v>101</v>
      </c>
      <c r="I246" s="18">
        <v>9.706666666666667</v>
      </c>
      <c r="J246" s="17" t="s">
        <v>49</v>
      </c>
      <c r="K246" s="17" t="s">
        <v>48</v>
      </c>
      <c r="L246" s="17"/>
      <c r="M246" s="17"/>
      <c r="N246" s="16" t="str">
        <f>HYPERLINK("http://slimages.macys.com/is/image/MCY/19379386 ")</f>
        <v xml:space="preserve">http://slimages.macys.com/is/image/MCY/19379386 </v>
      </c>
      <c r="O246" s="37"/>
    </row>
    <row r="247" spans="1:15" ht="48" x14ac:dyDescent="0.25">
      <c r="A247" s="19" t="s">
        <v>2592</v>
      </c>
      <c r="B247" s="17" t="s">
        <v>2591</v>
      </c>
      <c r="C247" s="20">
        <v>1</v>
      </c>
      <c r="D247" s="18">
        <v>59</v>
      </c>
      <c r="E247" s="18">
        <v>59</v>
      </c>
      <c r="F247" s="20">
        <v>2351809</v>
      </c>
      <c r="G247" s="17" t="s">
        <v>91</v>
      </c>
      <c r="H247" s="19" t="s">
        <v>50</v>
      </c>
      <c r="I247" s="18">
        <v>9.6666666666666661</v>
      </c>
      <c r="J247" s="17" t="s">
        <v>80</v>
      </c>
      <c r="K247" s="17" t="s">
        <v>293</v>
      </c>
      <c r="L247" s="17"/>
      <c r="M247" s="17"/>
      <c r="N247" s="16" t="str">
        <f>HYPERLINK("http://slimages.macys.com/is/image/MCY/19796775 ")</f>
        <v xml:space="preserve">http://slimages.macys.com/is/image/MCY/19796775 </v>
      </c>
      <c r="O247" s="37"/>
    </row>
    <row r="248" spans="1:15" ht="48" x14ac:dyDescent="0.25">
      <c r="A248" s="19" t="s">
        <v>1051</v>
      </c>
      <c r="B248" s="17" t="s">
        <v>1050</v>
      </c>
      <c r="C248" s="20">
        <v>1</v>
      </c>
      <c r="D248" s="18">
        <v>49.5</v>
      </c>
      <c r="E248" s="18">
        <v>49.5</v>
      </c>
      <c r="F248" s="20" t="s">
        <v>286</v>
      </c>
      <c r="G248" s="17" t="s">
        <v>91</v>
      </c>
      <c r="H248" s="19" t="s">
        <v>69</v>
      </c>
      <c r="I248" s="18">
        <v>9.32</v>
      </c>
      <c r="J248" s="17" t="s">
        <v>56</v>
      </c>
      <c r="K248" s="17" t="s">
        <v>55</v>
      </c>
      <c r="L248" s="17"/>
      <c r="M248" s="17"/>
      <c r="N248" s="16" t="str">
        <f>HYPERLINK("http://slimages.macys.com/is/image/MCY/16687507 ")</f>
        <v xml:space="preserve">http://slimages.macys.com/is/image/MCY/16687507 </v>
      </c>
      <c r="O248" s="37"/>
    </row>
    <row r="249" spans="1:15" ht="48" x14ac:dyDescent="0.25">
      <c r="A249" s="19" t="s">
        <v>2590</v>
      </c>
      <c r="B249" s="17" t="s">
        <v>2589</v>
      </c>
      <c r="C249" s="20">
        <v>2</v>
      </c>
      <c r="D249" s="18">
        <v>49.5</v>
      </c>
      <c r="E249" s="18">
        <v>99</v>
      </c>
      <c r="F249" s="20" t="s">
        <v>286</v>
      </c>
      <c r="G249" s="17" t="s">
        <v>91</v>
      </c>
      <c r="H249" s="19" t="s">
        <v>197</v>
      </c>
      <c r="I249" s="18">
        <v>9.32</v>
      </c>
      <c r="J249" s="17" t="s">
        <v>56</v>
      </c>
      <c r="K249" s="17" t="s">
        <v>55</v>
      </c>
      <c r="L249" s="17"/>
      <c r="M249" s="17"/>
      <c r="N249" s="16" t="str">
        <f>HYPERLINK("http://slimages.macys.com/is/image/MCY/16687507 ")</f>
        <v xml:space="preserve">http://slimages.macys.com/is/image/MCY/16687507 </v>
      </c>
      <c r="O249" s="37"/>
    </row>
    <row r="250" spans="1:15" ht="48" x14ac:dyDescent="0.25">
      <c r="A250" s="19" t="s">
        <v>2588</v>
      </c>
      <c r="B250" s="17" t="s">
        <v>2587</v>
      </c>
      <c r="C250" s="20">
        <v>1</v>
      </c>
      <c r="D250" s="18">
        <v>54.5</v>
      </c>
      <c r="E250" s="18">
        <v>54.5</v>
      </c>
      <c r="F250" s="20" t="s">
        <v>2586</v>
      </c>
      <c r="G250" s="17" t="s">
        <v>140</v>
      </c>
      <c r="H250" s="19" t="s">
        <v>898</v>
      </c>
      <c r="I250" s="18">
        <v>9.32</v>
      </c>
      <c r="J250" s="17" t="s">
        <v>68</v>
      </c>
      <c r="K250" s="17" t="s">
        <v>67</v>
      </c>
      <c r="L250" s="17" t="s">
        <v>389</v>
      </c>
      <c r="M250" s="17" t="s">
        <v>1804</v>
      </c>
      <c r="N250" s="16" t="str">
        <f>HYPERLINK("http://slimages.macys.com/is/image/MCY/1929248 ")</f>
        <v xml:space="preserve">http://slimages.macys.com/is/image/MCY/1929248 </v>
      </c>
      <c r="O250" s="37"/>
    </row>
    <row r="251" spans="1:15" ht="48" x14ac:dyDescent="0.25">
      <c r="A251" s="19" t="s">
        <v>2585</v>
      </c>
      <c r="B251" s="17" t="s">
        <v>2584</v>
      </c>
      <c r="C251" s="20">
        <v>1</v>
      </c>
      <c r="D251" s="18">
        <v>49.5</v>
      </c>
      <c r="E251" s="18">
        <v>49.5</v>
      </c>
      <c r="F251" s="20" t="s">
        <v>286</v>
      </c>
      <c r="G251" s="17" t="s">
        <v>91</v>
      </c>
      <c r="H251" s="19" t="s">
        <v>62</v>
      </c>
      <c r="I251" s="18">
        <v>9.32</v>
      </c>
      <c r="J251" s="17" t="s">
        <v>56</v>
      </c>
      <c r="K251" s="17" t="s">
        <v>55</v>
      </c>
      <c r="L251" s="17"/>
      <c r="M251" s="17"/>
      <c r="N251" s="16" t="str">
        <f>HYPERLINK("http://slimages.macys.com/is/image/MCY/16687507 ")</f>
        <v xml:space="preserve">http://slimages.macys.com/is/image/MCY/16687507 </v>
      </c>
      <c r="O251" s="37"/>
    </row>
    <row r="252" spans="1:15" ht="48" x14ac:dyDescent="0.25">
      <c r="A252" s="19" t="s">
        <v>2583</v>
      </c>
      <c r="B252" s="17" t="s">
        <v>2582</v>
      </c>
      <c r="C252" s="20">
        <v>1</v>
      </c>
      <c r="D252" s="18">
        <v>49.5</v>
      </c>
      <c r="E252" s="18">
        <v>49.5</v>
      </c>
      <c r="F252" s="20" t="s">
        <v>2581</v>
      </c>
      <c r="G252" s="17" t="s">
        <v>58</v>
      </c>
      <c r="H252" s="19" t="s">
        <v>74</v>
      </c>
      <c r="I252" s="18">
        <v>9.32</v>
      </c>
      <c r="J252" s="17" t="s">
        <v>56</v>
      </c>
      <c r="K252" s="17" t="s">
        <v>55</v>
      </c>
      <c r="L252" s="17"/>
      <c r="M252" s="17"/>
      <c r="N252" s="16" t="str">
        <f>HYPERLINK("http://slimages.macys.com/is/image/MCY/18941697 ")</f>
        <v xml:space="preserve">http://slimages.macys.com/is/image/MCY/18941697 </v>
      </c>
      <c r="O252" s="37"/>
    </row>
    <row r="253" spans="1:15" ht="48" x14ac:dyDescent="0.25">
      <c r="A253" s="19" t="s">
        <v>2580</v>
      </c>
      <c r="B253" s="17" t="s">
        <v>2579</v>
      </c>
      <c r="C253" s="20">
        <v>1</v>
      </c>
      <c r="D253" s="18">
        <v>49.5</v>
      </c>
      <c r="E253" s="18">
        <v>49.5</v>
      </c>
      <c r="F253" s="20" t="s">
        <v>286</v>
      </c>
      <c r="G253" s="17" t="s">
        <v>51</v>
      </c>
      <c r="H253" s="19" t="s">
        <v>74</v>
      </c>
      <c r="I253" s="18">
        <v>9.32</v>
      </c>
      <c r="J253" s="17" t="s">
        <v>56</v>
      </c>
      <c r="K253" s="17" t="s">
        <v>55</v>
      </c>
      <c r="L253" s="17"/>
      <c r="M253" s="17"/>
      <c r="N253" s="16" t="str">
        <f>HYPERLINK("http://slimages.macys.com/is/image/MCY/19254685 ")</f>
        <v xml:space="preserve">http://slimages.macys.com/is/image/MCY/19254685 </v>
      </c>
      <c r="O253" s="37"/>
    </row>
    <row r="254" spans="1:15" ht="48" x14ac:dyDescent="0.25">
      <c r="A254" s="19" t="s">
        <v>2578</v>
      </c>
      <c r="B254" s="17" t="s">
        <v>2577</v>
      </c>
      <c r="C254" s="20">
        <v>2</v>
      </c>
      <c r="D254" s="18">
        <v>49.5</v>
      </c>
      <c r="E254" s="18">
        <v>99</v>
      </c>
      <c r="F254" s="20" t="s">
        <v>2576</v>
      </c>
      <c r="G254" s="17" t="s">
        <v>2575</v>
      </c>
      <c r="H254" s="19" t="s">
        <v>271</v>
      </c>
      <c r="I254" s="18">
        <v>9.0733333333333341</v>
      </c>
      <c r="J254" s="17" t="s">
        <v>267</v>
      </c>
      <c r="K254" s="17" t="s">
        <v>32</v>
      </c>
      <c r="L254" s="17"/>
      <c r="M254" s="17"/>
      <c r="N254" s="16" t="str">
        <f>HYPERLINK("http://slimages.macys.com/is/image/MCY/19267788 ")</f>
        <v xml:space="preserve">http://slimages.macys.com/is/image/MCY/19267788 </v>
      </c>
      <c r="O254" s="37"/>
    </row>
    <row r="255" spans="1:15" ht="36" x14ac:dyDescent="0.25">
      <c r="A255" s="19" t="s">
        <v>2574</v>
      </c>
      <c r="B255" s="17" t="s">
        <v>2573</v>
      </c>
      <c r="C255" s="20">
        <v>1</v>
      </c>
      <c r="D255" s="18">
        <v>49</v>
      </c>
      <c r="E255" s="18">
        <v>49</v>
      </c>
      <c r="F255" s="20" t="s">
        <v>2572</v>
      </c>
      <c r="G255" s="17" t="s">
        <v>1815</v>
      </c>
      <c r="H255" s="19" t="s">
        <v>57</v>
      </c>
      <c r="I255" s="18">
        <v>9.0466666666666669</v>
      </c>
      <c r="J255" s="17" t="s">
        <v>405</v>
      </c>
      <c r="K255" s="17" t="s">
        <v>404</v>
      </c>
      <c r="L255" s="17"/>
      <c r="M255" s="17"/>
      <c r="N255" s="16" t="str">
        <f>HYPERLINK("http://slimages.macys.com/is/image/MCY/19026321 ")</f>
        <v xml:space="preserve">http://slimages.macys.com/is/image/MCY/19026321 </v>
      </c>
      <c r="O255" s="37"/>
    </row>
    <row r="256" spans="1:15" ht="48" x14ac:dyDescent="0.25">
      <c r="A256" s="19" t="s">
        <v>2571</v>
      </c>
      <c r="B256" s="17" t="s">
        <v>2570</v>
      </c>
      <c r="C256" s="20">
        <v>1</v>
      </c>
      <c r="D256" s="18">
        <v>32.99</v>
      </c>
      <c r="E256" s="18">
        <v>32.99</v>
      </c>
      <c r="F256" s="20" t="s">
        <v>2569</v>
      </c>
      <c r="G256" s="17" t="s">
        <v>28</v>
      </c>
      <c r="H256" s="19" t="s">
        <v>74</v>
      </c>
      <c r="I256" s="18">
        <v>8.9533333333333331</v>
      </c>
      <c r="J256" s="17" t="s">
        <v>42</v>
      </c>
      <c r="K256" s="17" t="s">
        <v>41</v>
      </c>
      <c r="L256" s="17"/>
      <c r="M256" s="17"/>
      <c r="N256" s="16" t="str">
        <f>HYPERLINK("http://slimages.macys.com/is/image/MCY/19268893 ")</f>
        <v xml:space="preserve">http://slimages.macys.com/is/image/MCY/19268893 </v>
      </c>
      <c r="O256" s="37"/>
    </row>
    <row r="257" spans="1:15" ht="60" x14ac:dyDescent="0.25">
      <c r="A257" s="19" t="s">
        <v>2568</v>
      </c>
      <c r="B257" s="17" t="s">
        <v>2567</v>
      </c>
      <c r="C257" s="20">
        <v>5</v>
      </c>
      <c r="D257" s="18">
        <v>34.299999999999997</v>
      </c>
      <c r="E257" s="18">
        <v>171.5</v>
      </c>
      <c r="F257" s="20" t="s">
        <v>260</v>
      </c>
      <c r="G257" s="17" t="s">
        <v>91</v>
      </c>
      <c r="H257" s="19" t="s">
        <v>197</v>
      </c>
      <c r="I257" s="18">
        <v>8.9466666666666672</v>
      </c>
      <c r="J257" s="17" t="s">
        <v>42</v>
      </c>
      <c r="K257" s="17" t="s">
        <v>41</v>
      </c>
      <c r="L257" s="17"/>
      <c r="M257" s="17"/>
      <c r="N257" s="16" t="str">
        <f>HYPERLINK("http://slimages.macys.com/is/image/MCY/18549055 ")</f>
        <v xml:space="preserve">http://slimages.macys.com/is/image/MCY/18549055 </v>
      </c>
      <c r="O257" s="37"/>
    </row>
    <row r="258" spans="1:15" ht="48" x14ac:dyDescent="0.25">
      <c r="A258" s="19" t="s">
        <v>2566</v>
      </c>
      <c r="B258" s="17" t="s">
        <v>2565</v>
      </c>
      <c r="C258" s="20">
        <v>6</v>
      </c>
      <c r="D258" s="18">
        <v>34.299999999999997</v>
      </c>
      <c r="E258" s="18">
        <v>205.8</v>
      </c>
      <c r="F258" s="20" t="s">
        <v>2564</v>
      </c>
      <c r="G258" s="17" t="s">
        <v>91</v>
      </c>
      <c r="H258" s="19" t="s">
        <v>74</v>
      </c>
      <c r="I258" s="18">
        <v>8.9466666666666672</v>
      </c>
      <c r="J258" s="17" t="s">
        <v>42</v>
      </c>
      <c r="K258" s="17" t="s">
        <v>41</v>
      </c>
      <c r="L258" s="17"/>
      <c r="M258" s="17"/>
      <c r="N258" s="16" t="str">
        <f>HYPERLINK("http://slimages.macys.com/is/image/MCY/18545282 ")</f>
        <v xml:space="preserve">http://slimages.macys.com/is/image/MCY/18545282 </v>
      </c>
      <c r="O258" s="37"/>
    </row>
    <row r="259" spans="1:15" ht="60" x14ac:dyDescent="0.25">
      <c r="A259" s="19" t="s">
        <v>2563</v>
      </c>
      <c r="B259" s="17" t="s">
        <v>2562</v>
      </c>
      <c r="C259" s="20">
        <v>1</v>
      </c>
      <c r="D259" s="18">
        <v>35</v>
      </c>
      <c r="E259" s="18">
        <v>35</v>
      </c>
      <c r="F259" s="20" t="s">
        <v>2561</v>
      </c>
      <c r="G259" s="17" t="s">
        <v>206</v>
      </c>
      <c r="H259" s="19" t="s">
        <v>101</v>
      </c>
      <c r="I259" s="18">
        <v>8.6866666666666674</v>
      </c>
      <c r="J259" s="17" t="s">
        <v>16</v>
      </c>
      <c r="K259" s="17" t="s">
        <v>15</v>
      </c>
      <c r="L259" s="17"/>
      <c r="M259" s="17"/>
      <c r="N259" s="16" t="str">
        <f>HYPERLINK("http://slimages.macys.com/is/image/MCY/18991505 ")</f>
        <v xml:space="preserve">http://slimages.macys.com/is/image/MCY/18991505 </v>
      </c>
      <c r="O259" s="37"/>
    </row>
    <row r="260" spans="1:15" ht="48" x14ac:dyDescent="0.25">
      <c r="A260" s="19" t="s">
        <v>2560</v>
      </c>
      <c r="B260" s="17" t="s">
        <v>2559</v>
      </c>
      <c r="C260" s="20">
        <v>9</v>
      </c>
      <c r="D260" s="18">
        <v>39</v>
      </c>
      <c r="E260" s="18">
        <v>351</v>
      </c>
      <c r="F260" s="20" t="s">
        <v>1041</v>
      </c>
      <c r="G260" s="17" t="s">
        <v>81</v>
      </c>
      <c r="H260" s="19" t="s">
        <v>101</v>
      </c>
      <c r="I260" s="18">
        <v>8.6066666666666674</v>
      </c>
      <c r="J260" s="17" t="s">
        <v>49</v>
      </c>
      <c r="K260" s="17" t="s">
        <v>48</v>
      </c>
      <c r="L260" s="17"/>
      <c r="M260" s="17"/>
      <c r="N260" s="16" t="str">
        <f>HYPERLINK("http://slimages.macys.com/is/image/MCY/19352482 ")</f>
        <v xml:space="preserve">http://slimages.macys.com/is/image/MCY/19352482 </v>
      </c>
      <c r="O260" s="37"/>
    </row>
    <row r="261" spans="1:15" ht="48" x14ac:dyDescent="0.25">
      <c r="A261" s="19" t="s">
        <v>2558</v>
      </c>
      <c r="B261" s="17" t="s">
        <v>2557</v>
      </c>
      <c r="C261" s="20">
        <v>2</v>
      </c>
      <c r="D261" s="18">
        <v>31.5</v>
      </c>
      <c r="E261" s="18">
        <v>63</v>
      </c>
      <c r="F261" s="20" t="s">
        <v>2556</v>
      </c>
      <c r="G261" s="17" t="s">
        <v>23</v>
      </c>
      <c r="H261" s="19" t="s">
        <v>43</v>
      </c>
      <c r="I261" s="18">
        <v>8.2200000000000006</v>
      </c>
      <c r="J261" s="17" t="s">
        <v>42</v>
      </c>
      <c r="K261" s="17" t="s">
        <v>41</v>
      </c>
      <c r="L261" s="17"/>
      <c r="M261" s="17"/>
      <c r="N261" s="16" t="str">
        <f>HYPERLINK("http://slimages.macys.com/is/image/MCY/18757242 ")</f>
        <v xml:space="preserve">http://slimages.macys.com/is/image/MCY/18757242 </v>
      </c>
      <c r="O261" s="37"/>
    </row>
    <row r="262" spans="1:15" ht="48" x14ac:dyDescent="0.25">
      <c r="A262" s="19" t="s">
        <v>1767</v>
      </c>
      <c r="B262" s="17" t="s">
        <v>1766</v>
      </c>
      <c r="C262" s="20">
        <v>1</v>
      </c>
      <c r="D262" s="18">
        <v>30</v>
      </c>
      <c r="E262" s="18">
        <v>30</v>
      </c>
      <c r="F262" s="20" t="s">
        <v>1765</v>
      </c>
      <c r="G262" s="17" t="s">
        <v>51</v>
      </c>
      <c r="H262" s="19" t="s">
        <v>22</v>
      </c>
      <c r="I262" s="18">
        <v>7.8666666666666663</v>
      </c>
      <c r="J262" s="17" t="s">
        <v>16</v>
      </c>
      <c r="K262" s="17" t="s">
        <v>15</v>
      </c>
      <c r="L262" s="17"/>
      <c r="M262" s="17"/>
      <c r="N262" s="16" t="str">
        <f>HYPERLINK("http://slimages.macys.com/is/image/MCY/19545100 ")</f>
        <v xml:space="preserve">http://slimages.macys.com/is/image/MCY/19545100 </v>
      </c>
      <c r="O262" s="37"/>
    </row>
    <row r="263" spans="1:15" ht="24" x14ac:dyDescent="0.25">
      <c r="A263" s="19" t="s">
        <v>2555</v>
      </c>
      <c r="B263" s="17" t="s">
        <v>2554</v>
      </c>
      <c r="C263" s="20">
        <v>1</v>
      </c>
      <c r="D263" s="18">
        <v>34</v>
      </c>
      <c r="E263" s="18">
        <v>34</v>
      </c>
      <c r="F263" s="20" t="s">
        <v>2553</v>
      </c>
      <c r="G263" s="17" t="s">
        <v>282</v>
      </c>
      <c r="H263" s="19" t="s">
        <v>62</v>
      </c>
      <c r="I263" s="18">
        <v>7.5</v>
      </c>
      <c r="J263" s="17" t="s">
        <v>49</v>
      </c>
      <c r="K263" s="17" t="s">
        <v>48</v>
      </c>
      <c r="L263" s="17"/>
      <c r="M263" s="17"/>
      <c r="N263" s="16" t="str">
        <f>HYPERLINK("http://slimages.macys.com/is/image/MCY/19352586 ")</f>
        <v xml:space="preserve">http://slimages.macys.com/is/image/MCY/19352586 </v>
      </c>
      <c r="O263" s="37"/>
    </row>
    <row r="264" spans="1:15" ht="48" x14ac:dyDescent="0.25">
      <c r="A264" s="19" t="s">
        <v>2552</v>
      </c>
      <c r="B264" s="17" t="s">
        <v>2551</v>
      </c>
      <c r="C264" s="20">
        <v>1</v>
      </c>
      <c r="D264" s="18">
        <v>39.5</v>
      </c>
      <c r="E264" s="18">
        <v>39.5</v>
      </c>
      <c r="F264" s="20" t="s">
        <v>2550</v>
      </c>
      <c r="G264" s="17" t="s">
        <v>58</v>
      </c>
      <c r="H264" s="19" t="s">
        <v>69</v>
      </c>
      <c r="I264" s="18">
        <v>7.4400000000000013</v>
      </c>
      <c r="J264" s="17" t="s">
        <v>56</v>
      </c>
      <c r="K264" s="17" t="s">
        <v>55</v>
      </c>
      <c r="L264" s="17"/>
      <c r="M264" s="17"/>
      <c r="N264" s="16" t="str">
        <f>HYPERLINK("http://slimages.macys.com/is/image/MCY/18751507 ")</f>
        <v xml:space="preserve">http://slimages.macys.com/is/image/MCY/18751507 </v>
      </c>
      <c r="O264" s="37"/>
    </row>
    <row r="265" spans="1:15" ht="48" x14ac:dyDescent="0.25">
      <c r="A265" s="19" t="s">
        <v>2549</v>
      </c>
      <c r="B265" s="17" t="s">
        <v>2548</v>
      </c>
      <c r="C265" s="20">
        <v>1</v>
      </c>
      <c r="D265" s="18">
        <v>39.5</v>
      </c>
      <c r="E265" s="18">
        <v>39.5</v>
      </c>
      <c r="F265" s="20" t="s">
        <v>2532</v>
      </c>
      <c r="G265" s="17" t="s">
        <v>58</v>
      </c>
      <c r="H265" s="19" t="s">
        <v>62</v>
      </c>
      <c r="I265" s="18">
        <v>7.4400000000000013</v>
      </c>
      <c r="J265" s="17" t="s">
        <v>56</v>
      </c>
      <c r="K265" s="17" t="s">
        <v>55</v>
      </c>
      <c r="L265" s="17"/>
      <c r="M265" s="17"/>
      <c r="N265" s="16" t="str">
        <f>HYPERLINK("http://slimages.macys.com/is/image/MCY/19179827 ")</f>
        <v xml:space="preserve">http://slimages.macys.com/is/image/MCY/19179827 </v>
      </c>
      <c r="O265" s="37"/>
    </row>
    <row r="266" spans="1:15" ht="48" x14ac:dyDescent="0.25">
      <c r="A266" s="19" t="s">
        <v>1004</v>
      </c>
      <c r="B266" s="17" t="s">
        <v>1003</v>
      </c>
      <c r="C266" s="20">
        <v>2</v>
      </c>
      <c r="D266" s="18">
        <v>39.5</v>
      </c>
      <c r="E266" s="18">
        <v>79</v>
      </c>
      <c r="F266" s="20" t="s">
        <v>213</v>
      </c>
      <c r="G266" s="17" t="s">
        <v>63</v>
      </c>
      <c r="H266" s="19" t="s">
        <v>197</v>
      </c>
      <c r="I266" s="18">
        <v>7.4400000000000013</v>
      </c>
      <c r="J266" s="17" t="s">
        <v>56</v>
      </c>
      <c r="K266" s="17" t="s">
        <v>55</v>
      </c>
      <c r="L266" s="17"/>
      <c r="M266" s="17"/>
      <c r="N266" s="16" t="str">
        <f>HYPERLINK("http://slimages.macys.com/is/image/MCY/19179536 ")</f>
        <v xml:space="preserve">http://slimages.macys.com/is/image/MCY/19179536 </v>
      </c>
      <c r="O266" s="37"/>
    </row>
    <row r="267" spans="1:15" ht="48" x14ac:dyDescent="0.25">
      <c r="A267" s="19" t="s">
        <v>2547</v>
      </c>
      <c r="B267" s="17" t="s">
        <v>2546</v>
      </c>
      <c r="C267" s="20">
        <v>1</v>
      </c>
      <c r="D267" s="18">
        <v>39.5</v>
      </c>
      <c r="E267" s="18">
        <v>39.5</v>
      </c>
      <c r="F267" s="20" t="s">
        <v>2545</v>
      </c>
      <c r="G267" s="17" t="s">
        <v>282</v>
      </c>
      <c r="H267" s="19" t="s">
        <v>197</v>
      </c>
      <c r="I267" s="18">
        <v>7.4400000000000013</v>
      </c>
      <c r="J267" s="17" t="s">
        <v>56</v>
      </c>
      <c r="K267" s="17" t="s">
        <v>55</v>
      </c>
      <c r="L267" s="17"/>
      <c r="M267" s="17"/>
      <c r="N267" s="16" t="str">
        <f>HYPERLINK("http://slimages.macys.com/is/image/MCY/19395911 ")</f>
        <v xml:space="preserve">http://slimages.macys.com/is/image/MCY/19395911 </v>
      </c>
      <c r="O267" s="37"/>
    </row>
    <row r="268" spans="1:15" ht="48" x14ac:dyDescent="0.25">
      <c r="A268" s="19" t="s">
        <v>2544</v>
      </c>
      <c r="B268" s="17" t="s">
        <v>2543</v>
      </c>
      <c r="C268" s="20">
        <v>1</v>
      </c>
      <c r="D268" s="18">
        <v>39.5</v>
      </c>
      <c r="E268" s="18">
        <v>39.5</v>
      </c>
      <c r="F268" s="20" t="s">
        <v>2542</v>
      </c>
      <c r="G268" s="17" t="s">
        <v>58</v>
      </c>
      <c r="H268" s="19" t="s">
        <v>197</v>
      </c>
      <c r="I268" s="18">
        <v>7.4400000000000013</v>
      </c>
      <c r="J268" s="17" t="s">
        <v>56</v>
      </c>
      <c r="K268" s="17" t="s">
        <v>55</v>
      </c>
      <c r="L268" s="17"/>
      <c r="M268" s="17"/>
      <c r="N268" s="16" t="str">
        <f>HYPERLINK("http://slimages.macys.com/is/image/MCY/16688361 ")</f>
        <v xml:space="preserve">http://slimages.macys.com/is/image/MCY/16688361 </v>
      </c>
      <c r="O268" s="37"/>
    </row>
    <row r="269" spans="1:15" ht="48" x14ac:dyDescent="0.25">
      <c r="A269" s="19" t="s">
        <v>990</v>
      </c>
      <c r="B269" s="17" t="s">
        <v>989</v>
      </c>
      <c r="C269" s="20">
        <v>3</v>
      </c>
      <c r="D269" s="18">
        <v>39.5</v>
      </c>
      <c r="E269" s="18">
        <v>118.5</v>
      </c>
      <c r="F269" s="20" t="s">
        <v>213</v>
      </c>
      <c r="G269" s="17" t="s">
        <v>63</v>
      </c>
      <c r="H269" s="19" t="s">
        <v>57</v>
      </c>
      <c r="I269" s="18">
        <v>7.4400000000000013</v>
      </c>
      <c r="J269" s="17" t="s">
        <v>56</v>
      </c>
      <c r="K269" s="17" t="s">
        <v>55</v>
      </c>
      <c r="L269" s="17"/>
      <c r="M269" s="17"/>
      <c r="N269" s="16" t="str">
        <f>HYPERLINK("http://slimages.macys.com/is/image/MCY/19179536 ")</f>
        <v xml:space="preserve">http://slimages.macys.com/is/image/MCY/19179536 </v>
      </c>
      <c r="O269" s="37"/>
    </row>
    <row r="270" spans="1:15" ht="48" x14ac:dyDescent="0.25">
      <c r="A270" s="19" t="s">
        <v>2541</v>
      </c>
      <c r="B270" s="17" t="s">
        <v>2540</v>
      </c>
      <c r="C270" s="20">
        <v>1</v>
      </c>
      <c r="D270" s="18">
        <v>39.5</v>
      </c>
      <c r="E270" s="18">
        <v>39.5</v>
      </c>
      <c r="F270" s="20" t="s">
        <v>2539</v>
      </c>
      <c r="G270" s="17" t="s">
        <v>51</v>
      </c>
      <c r="H270" s="19" t="s">
        <v>271</v>
      </c>
      <c r="I270" s="18">
        <v>7.4400000000000013</v>
      </c>
      <c r="J270" s="17" t="s">
        <v>1891</v>
      </c>
      <c r="K270" s="17" t="s">
        <v>2435</v>
      </c>
      <c r="L270" s="17"/>
      <c r="M270" s="17"/>
      <c r="N270" s="16" t="str">
        <f>HYPERLINK("http://slimages.macys.com/is/image/MCY/19009037 ")</f>
        <v xml:space="preserve">http://slimages.macys.com/is/image/MCY/19009037 </v>
      </c>
      <c r="O270" s="37"/>
    </row>
    <row r="271" spans="1:15" ht="48" x14ac:dyDescent="0.25">
      <c r="A271" s="19" t="s">
        <v>1002</v>
      </c>
      <c r="B271" s="17" t="s">
        <v>1001</v>
      </c>
      <c r="C271" s="20">
        <v>2</v>
      </c>
      <c r="D271" s="18">
        <v>39.5</v>
      </c>
      <c r="E271" s="18">
        <v>79</v>
      </c>
      <c r="F271" s="20" t="s">
        <v>1000</v>
      </c>
      <c r="G271" s="17" t="s">
        <v>91</v>
      </c>
      <c r="H271" s="19" t="s">
        <v>197</v>
      </c>
      <c r="I271" s="18">
        <v>7.4400000000000013</v>
      </c>
      <c r="J271" s="17" t="s">
        <v>56</v>
      </c>
      <c r="K271" s="17" t="s">
        <v>55</v>
      </c>
      <c r="L271" s="17"/>
      <c r="M271" s="17"/>
      <c r="N271" s="16" t="str">
        <f>HYPERLINK("http://slimages.macys.com/is/image/MCY/19394976 ")</f>
        <v xml:space="preserve">http://slimages.macys.com/is/image/MCY/19394976 </v>
      </c>
      <c r="O271" s="37"/>
    </row>
    <row r="272" spans="1:15" ht="48" x14ac:dyDescent="0.25">
      <c r="A272" s="19" t="s">
        <v>215</v>
      </c>
      <c r="B272" s="17" t="s">
        <v>214</v>
      </c>
      <c r="C272" s="20">
        <v>4</v>
      </c>
      <c r="D272" s="18">
        <v>39.5</v>
      </c>
      <c r="E272" s="18">
        <v>158</v>
      </c>
      <c r="F272" s="20" t="s">
        <v>213</v>
      </c>
      <c r="G272" s="17" t="s">
        <v>63</v>
      </c>
      <c r="H272" s="19" t="s">
        <v>69</v>
      </c>
      <c r="I272" s="18">
        <v>7.4400000000000013</v>
      </c>
      <c r="J272" s="17" t="s">
        <v>56</v>
      </c>
      <c r="K272" s="17" t="s">
        <v>55</v>
      </c>
      <c r="L272" s="17"/>
      <c r="M272" s="17"/>
      <c r="N272" s="16" t="str">
        <f>HYPERLINK("http://slimages.macys.com/is/image/MCY/19179536 ")</f>
        <v xml:space="preserve">http://slimages.macys.com/is/image/MCY/19179536 </v>
      </c>
      <c r="O272" s="37"/>
    </row>
    <row r="273" spans="1:15" ht="48" x14ac:dyDescent="0.25">
      <c r="A273" s="19" t="s">
        <v>2538</v>
      </c>
      <c r="B273" s="17" t="s">
        <v>2537</v>
      </c>
      <c r="C273" s="20">
        <v>1</v>
      </c>
      <c r="D273" s="18">
        <v>39.5</v>
      </c>
      <c r="E273" s="18">
        <v>39.5</v>
      </c>
      <c r="F273" s="20" t="s">
        <v>1000</v>
      </c>
      <c r="G273" s="17" t="s">
        <v>91</v>
      </c>
      <c r="H273" s="19" t="s">
        <v>62</v>
      </c>
      <c r="I273" s="18">
        <v>7.4400000000000013</v>
      </c>
      <c r="J273" s="17" t="s">
        <v>56</v>
      </c>
      <c r="K273" s="17" t="s">
        <v>55</v>
      </c>
      <c r="L273" s="17"/>
      <c r="M273" s="17"/>
      <c r="N273" s="16" t="str">
        <f>HYPERLINK("http://slimages.macys.com/is/image/MCY/19394976 ")</f>
        <v xml:space="preserve">http://slimages.macys.com/is/image/MCY/19394976 </v>
      </c>
      <c r="O273" s="37"/>
    </row>
    <row r="274" spans="1:15" ht="48" x14ac:dyDescent="0.25">
      <c r="A274" s="19" t="s">
        <v>1721</v>
      </c>
      <c r="B274" s="17" t="s">
        <v>1720</v>
      </c>
      <c r="C274" s="20">
        <v>3</v>
      </c>
      <c r="D274" s="18">
        <v>39.5</v>
      </c>
      <c r="E274" s="18">
        <v>118.5</v>
      </c>
      <c r="F274" s="20" t="s">
        <v>213</v>
      </c>
      <c r="G274" s="17" t="s">
        <v>63</v>
      </c>
      <c r="H274" s="19" t="s">
        <v>74</v>
      </c>
      <c r="I274" s="18">
        <v>7.4400000000000013</v>
      </c>
      <c r="J274" s="17" t="s">
        <v>56</v>
      </c>
      <c r="K274" s="17" t="s">
        <v>55</v>
      </c>
      <c r="L274" s="17"/>
      <c r="M274" s="17"/>
      <c r="N274" s="16" t="str">
        <f>HYPERLINK("http://slimages.macys.com/is/image/MCY/19179536 ")</f>
        <v xml:space="preserve">http://slimages.macys.com/is/image/MCY/19179536 </v>
      </c>
      <c r="O274" s="37"/>
    </row>
    <row r="275" spans="1:15" ht="48" x14ac:dyDescent="0.25">
      <c r="A275" s="19" t="s">
        <v>2536</v>
      </c>
      <c r="B275" s="17" t="s">
        <v>2535</v>
      </c>
      <c r="C275" s="20">
        <v>3</v>
      </c>
      <c r="D275" s="18">
        <v>39.5</v>
      </c>
      <c r="E275" s="18">
        <v>118.5</v>
      </c>
      <c r="F275" s="20" t="s">
        <v>1000</v>
      </c>
      <c r="G275" s="17" t="s">
        <v>91</v>
      </c>
      <c r="H275" s="19" t="s">
        <v>69</v>
      </c>
      <c r="I275" s="18">
        <v>7.4400000000000013</v>
      </c>
      <c r="J275" s="17" t="s">
        <v>56</v>
      </c>
      <c r="K275" s="17" t="s">
        <v>55</v>
      </c>
      <c r="L275" s="17"/>
      <c r="M275" s="17"/>
      <c r="N275" s="16" t="str">
        <f>HYPERLINK("http://slimages.macys.com/is/image/MCY/19394976 ")</f>
        <v xml:space="preserve">http://slimages.macys.com/is/image/MCY/19394976 </v>
      </c>
      <c r="O275" s="37"/>
    </row>
    <row r="276" spans="1:15" ht="48" x14ac:dyDescent="0.25">
      <c r="A276" s="19" t="s">
        <v>992</v>
      </c>
      <c r="B276" s="17" t="s">
        <v>991</v>
      </c>
      <c r="C276" s="20">
        <v>2</v>
      </c>
      <c r="D276" s="18">
        <v>39.5</v>
      </c>
      <c r="E276" s="18">
        <v>79</v>
      </c>
      <c r="F276" s="20" t="s">
        <v>213</v>
      </c>
      <c r="G276" s="17" t="s">
        <v>63</v>
      </c>
      <c r="H276" s="19" t="s">
        <v>62</v>
      </c>
      <c r="I276" s="18">
        <v>7.4400000000000013</v>
      </c>
      <c r="J276" s="17" t="s">
        <v>56</v>
      </c>
      <c r="K276" s="17" t="s">
        <v>55</v>
      </c>
      <c r="L276" s="17"/>
      <c r="M276" s="17"/>
      <c r="N276" s="16" t="str">
        <f>HYPERLINK("http://slimages.macys.com/is/image/MCY/19179536 ")</f>
        <v xml:space="preserve">http://slimages.macys.com/is/image/MCY/19179536 </v>
      </c>
      <c r="O276" s="37"/>
    </row>
    <row r="277" spans="1:15" ht="48" x14ac:dyDescent="0.25">
      <c r="A277" s="19" t="s">
        <v>2534</v>
      </c>
      <c r="B277" s="17" t="s">
        <v>2533</v>
      </c>
      <c r="C277" s="20">
        <v>1</v>
      </c>
      <c r="D277" s="18">
        <v>39.5</v>
      </c>
      <c r="E277" s="18">
        <v>39.5</v>
      </c>
      <c r="F277" s="20" t="s">
        <v>2532</v>
      </c>
      <c r="G277" s="17" t="s">
        <v>206</v>
      </c>
      <c r="H277" s="19" t="s">
        <v>197</v>
      </c>
      <c r="I277" s="18">
        <v>7.4400000000000013</v>
      </c>
      <c r="J277" s="17" t="s">
        <v>56</v>
      </c>
      <c r="K277" s="17" t="s">
        <v>55</v>
      </c>
      <c r="L277" s="17"/>
      <c r="M277" s="17"/>
      <c r="N277" s="16" t="str">
        <f>HYPERLINK("http://slimages.macys.com/is/image/MCY/19179827 ")</f>
        <v xml:space="preserve">http://slimages.macys.com/is/image/MCY/19179827 </v>
      </c>
      <c r="O277" s="37"/>
    </row>
    <row r="278" spans="1:15" ht="48" x14ac:dyDescent="0.25">
      <c r="A278" s="19" t="s">
        <v>2531</v>
      </c>
      <c r="B278" s="17" t="s">
        <v>2530</v>
      </c>
      <c r="C278" s="20">
        <v>1</v>
      </c>
      <c r="D278" s="18">
        <v>39.5</v>
      </c>
      <c r="E278" s="18">
        <v>39.5</v>
      </c>
      <c r="F278" s="20" t="s">
        <v>1713</v>
      </c>
      <c r="G278" s="17" t="s">
        <v>58</v>
      </c>
      <c r="H278" s="19" t="s">
        <v>197</v>
      </c>
      <c r="I278" s="18">
        <v>7.4400000000000013</v>
      </c>
      <c r="J278" s="17" t="s">
        <v>56</v>
      </c>
      <c r="K278" s="17" t="s">
        <v>55</v>
      </c>
      <c r="L278" s="17"/>
      <c r="M278" s="17"/>
      <c r="N278" s="16" t="str">
        <f>HYPERLINK("http://slimages.macys.com/is/image/MCY/19182949 ")</f>
        <v xml:space="preserve">http://slimages.macys.com/is/image/MCY/19182949 </v>
      </c>
      <c r="O278" s="37"/>
    </row>
    <row r="279" spans="1:15" ht="48" x14ac:dyDescent="0.25">
      <c r="A279" s="19" t="s">
        <v>1723</v>
      </c>
      <c r="B279" s="17" t="s">
        <v>1722</v>
      </c>
      <c r="C279" s="20">
        <v>2</v>
      </c>
      <c r="D279" s="18">
        <v>39.5</v>
      </c>
      <c r="E279" s="18">
        <v>79</v>
      </c>
      <c r="F279" s="20" t="s">
        <v>1000</v>
      </c>
      <c r="G279" s="17" t="s">
        <v>91</v>
      </c>
      <c r="H279" s="19" t="s">
        <v>57</v>
      </c>
      <c r="I279" s="18">
        <v>7.4400000000000013</v>
      </c>
      <c r="J279" s="17" t="s">
        <v>56</v>
      </c>
      <c r="K279" s="17" t="s">
        <v>55</v>
      </c>
      <c r="L279" s="17"/>
      <c r="M279" s="17"/>
      <c r="N279" s="16" t="str">
        <f>HYPERLINK("http://slimages.macys.com/is/image/MCY/19394976 ")</f>
        <v xml:space="preserve">http://slimages.macys.com/is/image/MCY/19394976 </v>
      </c>
      <c r="O279" s="37"/>
    </row>
    <row r="280" spans="1:15" ht="48" x14ac:dyDescent="0.25">
      <c r="A280" s="19" t="s">
        <v>2529</v>
      </c>
      <c r="B280" s="17" t="s">
        <v>2528</v>
      </c>
      <c r="C280" s="20">
        <v>1</v>
      </c>
      <c r="D280" s="18">
        <v>39.5</v>
      </c>
      <c r="E280" s="18">
        <v>39.5</v>
      </c>
      <c r="F280" s="20" t="s">
        <v>2527</v>
      </c>
      <c r="G280" s="17" t="s">
        <v>282</v>
      </c>
      <c r="H280" s="19" t="s">
        <v>62</v>
      </c>
      <c r="I280" s="18">
        <v>7.4400000000000013</v>
      </c>
      <c r="J280" s="17" t="s">
        <v>56</v>
      </c>
      <c r="K280" s="17" t="s">
        <v>55</v>
      </c>
      <c r="L280" s="17"/>
      <c r="M280" s="17"/>
      <c r="N280" s="16" t="str">
        <f>HYPERLINK("http://slimages.macys.com/is/image/MCY/19395119 ")</f>
        <v xml:space="preserve">http://slimages.macys.com/is/image/MCY/19395119 </v>
      </c>
      <c r="O280" s="37"/>
    </row>
    <row r="281" spans="1:15" ht="48" x14ac:dyDescent="0.25">
      <c r="A281" s="19" t="s">
        <v>2526</v>
      </c>
      <c r="B281" s="17" t="s">
        <v>2525</v>
      </c>
      <c r="C281" s="20">
        <v>1</v>
      </c>
      <c r="D281" s="18">
        <v>39.5</v>
      </c>
      <c r="E281" s="18">
        <v>39.5</v>
      </c>
      <c r="F281" s="20" t="s">
        <v>2522</v>
      </c>
      <c r="G281" s="17" t="s">
        <v>206</v>
      </c>
      <c r="H281" s="19" t="s">
        <v>197</v>
      </c>
      <c r="I281" s="18">
        <v>7.4400000000000013</v>
      </c>
      <c r="J281" s="17" t="s">
        <v>56</v>
      </c>
      <c r="K281" s="17" t="s">
        <v>55</v>
      </c>
      <c r="L281" s="17"/>
      <c r="M281" s="17"/>
      <c r="N281" s="16" t="str">
        <f>HYPERLINK("http://slimages.macys.com/is/image/MCY/19180715 ")</f>
        <v xml:space="preserve">http://slimages.macys.com/is/image/MCY/19180715 </v>
      </c>
      <c r="O281" s="37"/>
    </row>
    <row r="282" spans="1:15" ht="48" x14ac:dyDescent="0.25">
      <c r="A282" s="19" t="s">
        <v>2524</v>
      </c>
      <c r="B282" s="17" t="s">
        <v>2523</v>
      </c>
      <c r="C282" s="20">
        <v>1</v>
      </c>
      <c r="D282" s="18">
        <v>39.5</v>
      </c>
      <c r="E282" s="18">
        <v>39.5</v>
      </c>
      <c r="F282" s="20" t="s">
        <v>2522</v>
      </c>
      <c r="G282" s="17" t="s">
        <v>63</v>
      </c>
      <c r="H282" s="19" t="s">
        <v>62</v>
      </c>
      <c r="I282" s="18">
        <v>7.4400000000000013</v>
      </c>
      <c r="J282" s="17" t="s">
        <v>56</v>
      </c>
      <c r="K282" s="17" t="s">
        <v>55</v>
      </c>
      <c r="L282" s="17"/>
      <c r="M282" s="17"/>
      <c r="N282" s="16" t="str">
        <f>HYPERLINK("http://slimages.macys.com/is/image/MCY/19180715 ")</f>
        <v xml:space="preserve">http://slimages.macys.com/is/image/MCY/19180715 </v>
      </c>
      <c r="O282" s="37"/>
    </row>
    <row r="283" spans="1:15" ht="48" x14ac:dyDescent="0.25">
      <c r="A283" s="19" t="s">
        <v>2521</v>
      </c>
      <c r="B283" s="17" t="s">
        <v>2520</v>
      </c>
      <c r="C283" s="20">
        <v>1</v>
      </c>
      <c r="D283" s="18">
        <v>49</v>
      </c>
      <c r="E283" s="18">
        <v>49</v>
      </c>
      <c r="F283" s="20">
        <v>2331616</v>
      </c>
      <c r="G283" s="17" t="s">
        <v>2284</v>
      </c>
      <c r="H283" s="19" t="s">
        <v>101</v>
      </c>
      <c r="I283" s="18">
        <v>7.4000000000000012</v>
      </c>
      <c r="J283" s="17" t="s">
        <v>80</v>
      </c>
      <c r="K283" s="17" t="s">
        <v>293</v>
      </c>
      <c r="L283" s="17"/>
      <c r="M283" s="17"/>
      <c r="N283" s="16" t="str">
        <f>HYPERLINK("http://slimages.macys.com/is/image/MCY/19455300 ")</f>
        <v xml:space="preserve">http://slimages.macys.com/is/image/MCY/19455300 </v>
      </c>
      <c r="O283" s="37"/>
    </row>
    <row r="284" spans="1:15" ht="48" x14ac:dyDescent="0.25">
      <c r="A284" s="19" t="s">
        <v>2519</v>
      </c>
      <c r="B284" s="17" t="s">
        <v>2518</v>
      </c>
      <c r="C284" s="20">
        <v>1</v>
      </c>
      <c r="D284" s="18">
        <v>49</v>
      </c>
      <c r="E284" s="18">
        <v>49</v>
      </c>
      <c r="F284" s="20">
        <v>2331616</v>
      </c>
      <c r="G284" s="17" t="s">
        <v>23</v>
      </c>
      <c r="H284" s="19" t="s">
        <v>62</v>
      </c>
      <c r="I284" s="18">
        <v>7.4000000000000012</v>
      </c>
      <c r="J284" s="17" t="s">
        <v>80</v>
      </c>
      <c r="K284" s="17" t="s">
        <v>293</v>
      </c>
      <c r="L284" s="17"/>
      <c r="M284" s="17"/>
      <c r="N284" s="16" t="str">
        <f>HYPERLINK("http://slimages.macys.com/is/image/MCY/19455300 ")</f>
        <v xml:space="preserve">http://slimages.macys.com/is/image/MCY/19455300 </v>
      </c>
      <c r="O284" s="37"/>
    </row>
    <row r="285" spans="1:15" ht="48" x14ac:dyDescent="0.25">
      <c r="A285" s="19" t="s">
        <v>2517</v>
      </c>
      <c r="B285" s="17" t="s">
        <v>2516</v>
      </c>
      <c r="C285" s="20">
        <v>7</v>
      </c>
      <c r="D285" s="18">
        <v>27.3</v>
      </c>
      <c r="E285" s="18">
        <v>191.1</v>
      </c>
      <c r="F285" s="20" t="s">
        <v>191</v>
      </c>
      <c r="G285" s="17" t="s">
        <v>23</v>
      </c>
      <c r="H285" s="19" t="s">
        <v>57</v>
      </c>
      <c r="I285" s="18">
        <v>7.120000000000001</v>
      </c>
      <c r="J285" s="17" t="s">
        <v>42</v>
      </c>
      <c r="K285" s="17" t="s">
        <v>41</v>
      </c>
      <c r="L285" s="17"/>
      <c r="M285" s="17"/>
      <c r="N285" s="16" t="str">
        <f>HYPERLINK("http://slimages.macys.com/is/image/MCY/18757221 ")</f>
        <v xml:space="preserve">http://slimages.macys.com/is/image/MCY/18757221 </v>
      </c>
      <c r="O285" s="37"/>
    </row>
    <row r="286" spans="1:15" ht="48" x14ac:dyDescent="0.25">
      <c r="A286" s="19" t="s">
        <v>2515</v>
      </c>
      <c r="B286" s="17" t="s">
        <v>2514</v>
      </c>
      <c r="C286" s="20">
        <v>11</v>
      </c>
      <c r="D286" s="18">
        <v>27.3</v>
      </c>
      <c r="E286" s="18">
        <v>300.3</v>
      </c>
      <c r="F286" s="20" t="s">
        <v>191</v>
      </c>
      <c r="G286" s="17" t="s">
        <v>28</v>
      </c>
      <c r="H286" s="19" t="s">
        <v>74</v>
      </c>
      <c r="I286" s="18">
        <v>7.120000000000001</v>
      </c>
      <c r="J286" s="17" t="s">
        <v>42</v>
      </c>
      <c r="K286" s="17" t="s">
        <v>41</v>
      </c>
      <c r="L286" s="17"/>
      <c r="M286" s="17"/>
      <c r="N286" s="16" t="str">
        <f>HYPERLINK("http://slimages.macys.com/is/image/MCY/18757221 ")</f>
        <v xml:space="preserve">http://slimages.macys.com/is/image/MCY/18757221 </v>
      </c>
      <c r="O286" s="37"/>
    </row>
    <row r="287" spans="1:15" ht="48" x14ac:dyDescent="0.25">
      <c r="A287" s="19" t="s">
        <v>2513</v>
      </c>
      <c r="B287" s="17" t="s">
        <v>2512</v>
      </c>
      <c r="C287" s="20">
        <v>8</v>
      </c>
      <c r="D287" s="18">
        <v>27.3</v>
      </c>
      <c r="E287" s="18">
        <v>218.4</v>
      </c>
      <c r="F287" s="20" t="s">
        <v>191</v>
      </c>
      <c r="G287" s="17" t="s">
        <v>63</v>
      </c>
      <c r="H287" s="19" t="s">
        <v>197</v>
      </c>
      <c r="I287" s="18">
        <v>7.120000000000001</v>
      </c>
      <c r="J287" s="17" t="s">
        <v>42</v>
      </c>
      <c r="K287" s="17" t="s">
        <v>41</v>
      </c>
      <c r="L287" s="17"/>
      <c r="M287" s="17"/>
      <c r="N287" s="16" t="str">
        <f>HYPERLINK("http://slimages.macys.com/is/image/MCY/18757221 ")</f>
        <v xml:space="preserve">http://slimages.macys.com/is/image/MCY/18757221 </v>
      </c>
      <c r="O287" s="37"/>
    </row>
    <row r="288" spans="1:15" ht="60" x14ac:dyDescent="0.25">
      <c r="A288" s="19" t="s">
        <v>2511</v>
      </c>
      <c r="B288" s="17" t="s">
        <v>2510</v>
      </c>
      <c r="C288" s="20">
        <v>5</v>
      </c>
      <c r="D288" s="18">
        <v>27.3</v>
      </c>
      <c r="E288" s="18">
        <v>136.5</v>
      </c>
      <c r="F288" s="20" t="s">
        <v>2503</v>
      </c>
      <c r="G288" s="17" t="s">
        <v>63</v>
      </c>
      <c r="H288" s="19" t="s">
        <v>62</v>
      </c>
      <c r="I288" s="18">
        <v>7.120000000000001</v>
      </c>
      <c r="J288" s="17" t="s">
        <v>42</v>
      </c>
      <c r="K288" s="17" t="s">
        <v>41</v>
      </c>
      <c r="L288" s="17"/>
      <c r="M288" s="17"/>
      <c r="N288" s="16" t="str">
        <f>HYPERLINK("http://slimages.macys.com/is/image/MCY/15716460 ")</f>
        <v xml:space="preserve">http://slimages.macys.com/is/image/MCY/15716460 </v>
      </c>
      <c r="O288" s="37"/>
    </row>
    <row r="289" spans="1:15" ht="48" x14ac:dyDescent="0.25">
      <c r="A289" s="19" t="s">
        <v>193</v>
      </c>
      <c r="B289" s="17" t="s">
        <v>192</v>
      </c>
      <c r="C289" s="20">
        <v>5</v>
      </c>
      <c r="D289" s="18">
        <v>27.3</v>
      </c>
      <c r="E289" s="18">
        <v>136.5</v>
      </c>
      <c r="F289" s="20" t="s">
        <v>191</v>
      </c>
      <c r="G289" s="17" t="s">
        <v>51</v>
      </c>
      <c r="H289" s="19" t="s">
        <v>62</v>
      </c>
      <c r="I289" s="18">
        <v>7.120000000000001</v>
      </c>
      <c r="J289" s="17" t="s">
        <v>42</v>
      </c>
      <c r="K289" s="17" t="s">
        <v>41</v>
      </c>
      <c r="L289" s="17"/>
      <c r="M289" s="17"/>
      <c r="N289" s="16" t="str">
        <f>HYPERLINK("http://slimages.macys.com/is/image/MCY/18757221 ")</f>
        <v xml:space="preserve">http://slimages.macys.com/is/image/MCY/18757221 </v>
      </c>
      <c r="O289" s="37"/>
    </row>
    <row r="290" spans="1:15" ht="48" x14ac:dyDescent="0.25">
      <c r="A290" s="19" t="s">
        <v>2509</v>
      </c>
      <c r="B290" s="17" t="s">
        <v>2508</v>
      </c>
      <c r="C290" s="20">
        <v>5</v>
      </c>
      <c r="D290" s="18">
        <v>27.3</v>
      </c>
      <c r="E290" s="18">
        <v>136.5</v>
      </c>
      <c r="F290" s="20" t="s">
        <v>191</v>
      </c>
      <c r="G290" s="17" t="s">
        <v>51</v>
      </c>
      <c r="H290" s="19" t="s">
        <v>197</v>
      </c>
      <c r="I290" s="18">
        <v>7.120000000000001</v>
      </c>
      <c r="J290" s="17" t="s">
        <v>42</v>
      </c>
      <c r="K290" s="17" t="s">
        <v>41</v>
      </c>
      <c r="L290" s="17"/>
      <c r="M290" s="17"/>
      <c r="N290" s="16" t="str">
        <f>HYPERLINK("http://slimages.macys.com/is/image/MCY/18757221 ")</f>
        <v xml:space="preserve">http://slimages.macys.com/is/image/MCY/18757221 </v>
      </c>
      <c r="O290" s="37"/>
    </row>
    <row r="291" spans="1:15" ht="48" x14ac:dyDescent="0.25">
      <c r="A291" s="19" t="s">
        <v>2507</v>
      </c>
      <c r="B291" s="17" t="s">
        <v>2506</v>
      </c>
      <c r="C291" s="20">
        <v>18</v>
      </c>
      <c r="D291" s="18">
        <v>27.3</v>
      </c>
      <c r="E291" s="18">
        <v>491.4</v>
      </c>
      <c r="F291" s="20" t="s">
        <v>191</v>
      </c>
      <c r="G291" s="17" t="s">
        <v>28</v>
      </c>
      <c r="H291" s="19" t="s">
        <v>69</v>
      </c>
      <c r="I291" s="18">
        <v>7.120000000000001</v>
      </c>
      <c r="J291" s="17" t="s">
        <v>42</v>
      </c>
      <c r="K291" s="17" t="s">
        <v>41</v>
      </c>
      <c r="L291" s="17"/>
      <c r="M291" s="17"/>
      <c r="N291" s="16" t="str">
        <f>HYPERLINK("http://slimages.macys.com/is/image/MCY/18757221 ")</f>
        <v xml:space="preserve">http://slimages.macys.com/is/image/MCY/18757221 </v>
      </c>
      <c r="O291" s="37"/>
    </row>
    <row r="292" spans="1:15" ht="48" x14ac:dyDescent="0.25">
      <c r="A292" s="19" t="s">
        <v>201</v>
      </c>
      <c r="B292" s="17" t="s">
        <v>200</v>
      </c>
      <c r="C292" s="20">
        <v>1</v>
      </c>
      <c r="D292" s="18">
        <v>27.3</v>
      </c>
      <c r="E292" s="18">
        <v>27.3</v>
      </c>
      <c r="F292" s="20" t="s">
        <v>199</v>
      </c>
      <c r="G292" s="17" t="s">
        <v>198</v>
      </c>
      <c r="H292" s="19" t="s">
        <v>197</v>
      </c>
      <c r="I292" s="18">
        <v>7.120000000000001</v>
      </c>
      <c r="J292" s="17" t="s">
        <v>42</v>
      </c>
      <c r="K292" s="17" t="s">
        <v>41</v>
      </c>
      <c r="L292" s="17"/>
      <c r="M292" s="17"/>
      <c r="N292" s="16" t="str">
        <f>HYPERLINK("http://slimages.macys.com/is/image/MCY/19112196 ")</f>
        <v xml:space="preserve">http://slimages.macys.com/is/image/MCY/19112196 </v>
      </c>
      <c r="O292" s="37"/>
    </row>
    <row r="293" spans="1:15" ht="60" x14ac:dyDescent="0.25">
      <c r="A293" s="19" t="s">
        <v>2505</v>
      </c>
      <c r="B293" s="17" t="s">
        <v>2504</v>
      </c>
      <c r="C293" s="20">
        <v>9</v>
      </c>
      <c r="D293" s="18">
        <v>27.3</v>
      </c>
      <c r="E293" s="18">
        <v>245.7</v>
      </c>
      <c r="F293" s="20" t="s">
        <v>2503</v>
      </c>
      <c r="G293" s="17" t="s">
        <v>63</v>
      </c>
      <c r="H293" s="19" t="s">
        <v>197</v>
      </c>
      <c r="I293" s="18">
        <v>7.120000000000001</v>
      </c>
      <c r="J293" s="17" t="s">
        <v>42</v>
      </c>
      <c r="K293" s="17" t="s">
        <v>41</v>
      </c>
      <c r="L293" s="17"/>
      <c r="M293" s="17"/>
      <c r="N293" s="16" t="str">
        <f>HYPERLINK("http://slimages.macys.com/is/image/MCY/15716460 ")</f>
        <v xml:space="preserve">http://slimages.macys.com/is/image/MCY/15716460 </v>
      </c>
      <c r="O293" s="37"/>
    </row>
    <row r="294" spans="1:15" ht="48" x14ac:dyDescent="0.25">
      <c r="A294" s="19" t="s">
        <v>2502</v>
      </c>
      <c r="B294" s="17" t="s">
        <v>2501</v>
      </c>
      <c r="C294" s="20">
        <v>10</v>
      </c>
      <c r="D294" s="18">
        <v>27.3</v>
      </c>
      <c r="E294" s="18">
        <v>273</v>
      </c>
      <c r="F294" s="20" t="s">
        <v>191</v>
      </c>
      <c r="G294" s="17" t="s">
        <v>63</v>
      </c>
      <c r="H294" s="19" t="s">
        <v>62</v>
      </c>
      <c r="I294" s="18">
        <v>7.120000000000001</v>
      </c>
      <c r="J294" s="17" t="s">
        <v>42</v>
      </c>
      <c r="K294" s="17" t="s">
        <v>41</v>
      </c>
      <c r="L294" s="17"/>
      <c r="M294" s="17"/>
      <c r="N294" s="16" t="str">
        <f>HYPERLINK("http://slimages.macys.com/is/image/MCY/18757221 ")</f>
        <v xml:space="preserve">http://slimages.macys.com/is/image/MCY/18757221 </v>
      </c>
      <c r="O294" s="37"/>
    </row>
    <row r="295" spans="1:15" ht="48" x14ac:dyDescent="0.25">
      <c r="A295" s="19" t="s">
        <v>2500</v>
      </c>
      <c r="B295" s="17" t="s">
        <v>2499</v>
      </c>
      <c r="C295" s="20">
        <v>9</v>
      </c>
      <c r="D295" s="18">
        <v>27.3</v>
      </c>
      <c r="E295" s="18">
        <v>245.7</v>
      </c>
      <c r="F295" s="20" t="s">
        <v>191</v>
      </c>
      <c r="G295" s="17" t="s">
        <v>23</v>
      </c>
      <c r="H295" s="19" t="s">
        <v>62</v>
      </c>
      <c r="I295" s="18">
        <v>7.120000000000001</v>
      </c>
      <c r="J295" s="17" t="s">
        <v>42</v>
      </c>
      <c r="K295" s="17" t="s">
        <v>41</v>
      </c>
      <c r="L295" s="17"/>
      <c r="M295" s="17"/>
      <c r="N295" s="16" t="str">
        <f>HYPERLINK("http://slimages.macys.com/is/image/MCY/18757221 ")</f>
        <v xml:space="preserve">http://slimages.macys.com/is/image/MCY/18757221 </v>
      </c>
      <c r="O295" s="37"/>
    </row>
    <row r="296" spans="1:15" ht="48" x14ac:dyDescent="0.25">
      <c r="A296" s="19" t="s">
        <v>2498</v>
      </c>
      <c r="B296" s="17" t="s">
        <v>2497</v>
      </c>
      <c r="C296" s="20">
        <v>7</v>
      </c>
      <c r="D296" s="18">
        <v>27.3</v>
      </c>
      <c r="E296" s="18">
        <v>191.1</v>
      </c>
      <c r="F296" s="20" t="s">
        <v>191</v>
      </c>
      <c r="G296" s="17" t="s">
        <v>28</v>
      </c>
      <c r="H296" s="19" t="s">
        <v>62</v>
      </c>
      <c r="I296" s="18">
        <v>7.120000000000001</v>
      </c>
      <c r="J296" s="17" t="s">
        <v>42</v>
      </c>
      <c r="K296" s="17" t="s">
        <v>41</v>
      </c>
      <c r="L296" s="17"/>
      <c r="M296" s="17"/>
      <c r="N296" s="16" t="str">
        <f>HYPERLINK("http://slimages.macys.com/is/image/MCY/18757221 ")</f>
        <v xml:space="preserve">http://slimages.macys.com/is/image/MCY/18757221 </v>
      </c>
      <c r="O296" s="37"/>
    </row>
    <row r="297" spans="1:15" ht="48" x14ac:dyDescent="0.25">
      <c r="A297" s="19" t="s">
        <v>2496</v>
      </c>
      <c r="B297" s="17" t="s">
        <v>2495</v>
      </c>
      <c r="C297" s="20">
        <v>11</v>
      </c>
      <c r="D297" s="18">
        <v>27.3</v>
      </c>
      <c r="E297" s="18">
        <v>300.3</v>
      </c>
      <c r="F297" s="20" t="s">
        <v>191</v>
      </c>
      <c r="G297" s="17" t="s">
        <v>23</v>
      </c>
      <c r="H297" s="19" t="s">
        <v>69</v>
      </c>
      <c r="I297" s="18">
        <v>7.120000000000001</v>
      </c>
      <c r="J297" s="17" t="s">
        <v>42</v>
      </c>
      <c r="K297" s="17" t="s">
        <v>41</v>
      </c>
      <c r="L297" s="17"/>
      <c r="M297" s="17"/>
      <c r="N297" s="16" t="str">
        <f>HYPERLINK("http://slimages.macys.com/is/image/MCY/18757221 ")</f>
        <v xml:space="preserve">http://slimages.macys.com/is/image/MCY/18757221 </v>
      </c>
      <c r="O297" s="37"/>
    </row>
    <row r="298" spans="1:15" ht="48" x14ac:dyDescent="0.25">
      <c r="A298" s="19" t="s">
        <v>2494</v>
      </c>
      <c r="B298" s="17" t="s">
        <v>2493</v>
      </c>
      <c r="C298" s="20">
        <v>12</v>
      </c>
      <c r="D298" s="18">
        <v>27.3</v>
      </c>
      <c r="E298" s="18">
        <v>327.60000000000002</v>
      </c>
      <c r="F298" s="20" t="s">
        <v>191</v>
      </c>
      <c r="G298" s="17" t="s">
        <v>51</v>
      </c>
      <c r="H298" s="19" t="s">
        <v>69</v>
      </c>
      <c r="I298" s="18">
        <v>7.120000000000001</v>
      </c>
      <c r="J298" s="17" t="s">
        <v>42</v>
      </c>
      <c r="K298" s="17" t="s">
        <v>41</v>
      </c>
      <c r="L298" s="17"/>
      <c r="M298" s="17"/>
      <c r="N298" s="16" t="str">
        <f>HYPERLINK("http://slimages.macys.com/is/image/MCY/18757221 ")</f>
        <v xml:space="preserve">http://slimages.macys.com/is/image/MCY/18757221 </v>
      </c>
      <c r="O298" s="37"/>
    </row>
    <row r="299" spans="1:15" ht="48" x14ac:dyDescent="0.25">
      <c r="A299" s="19" t="s">
        <v>2492</v>
      </c>
      <c r="B299" s="17" t="s">
        <v>2491</v>
      </c>
      <c r="C299" s="20">
        <v>1</v>
      </c>
      <c r="D299" s="18">
        <v>35</v>
      </c>
      <c r="E299" s="18">
        <v>35</v>
      </c>
      <c r="F299" s="20" t="s">
        <v>1704</v>
      </c>
      <c r="G299" s="17" t="s">
        <v>35</v>
      </c>
      <c r="H299" s="19" t="s">
        <v>74</v>
      </c>
      <c r="I299" s="18">
        <v>6.666666666666667</v>
      </c>
      <c r="J299" s="17" t="s">
        <v>80</v>
      </c>
      <c r="K299" s="17" t="s">
        <v>187</v>
      </c>
      <c r="L299" s="17"/>
      <c r="M299" s="17"/>
      <c r="N299" s="16" t="str">
        <f>HYPERLINK("http://slimages.macys.com/is/image/MCY/20043665 ")</f>
        <v xml:space="preserve">http://slimages.macys.com/is/image/MCY/20043665 </v>
      </c>
      <c r="O299" s="37"/>
    </row>
    <row r="300" spans="1:15" ht="60" x14ac:dyDescent="0.25">
      <c r="A300" s="19" t="s">
        <v>2490</v>
      </c>
      <c r="B300" s="17" t="s">
        <v>2489</v>
      </c>
      <c r="C300" s="20">
        <v>2</v>
      </c>
      <c r="D300" s="18">
        <v>39</v>
      </c>
      <c r="E300" s="18">
        <v>78</v>
      </c>
      <c r="F300" s="20" t="s">
        <v>2488</v>
      </c>
      <c r="G300" s="17" t="s">
        <v>51</v>
      </c>
      <c r="H300" s="19" t="s">
        <v>69</v>
      </c>
      <c r="I300" s="18">
        <v>6.333333333333333</v>
      </c>
      <c r="J300" s="17" t="s">
        <v>1700</v>
      </c>
      <c r="K300" s="17" t="s">
        <v>1699</v>
      </c>
      <c r="L300" s="17"/>
      <c r="M300" s="17"/>
      <c r="N300" s="16" t="str">
        <f>HYPERLINK("http://slimages.macys.com/is/image/MCY/19640695 ")</f>
        <v xml:space="preserve">http://slimages.macys.com/is/image/MCY/19640695 </v>
      </c>
      <c r="O300" s="37"/>
    </row>
    <row r="301" spans="1:15" ht="36" x14ac:dyDescent="0.25">
      <c r="A301" s="19" t="s">
        <v>2487</v>
      </c>
      <c r="B301" s="17" t="s">
        <v>2486</v>
      </c>
      <c r="C301" s="20">
        <v>1</v>
      </c>
      <c r="D301" s="18">
        <v>30</v>
      </c>
      <c r="E301" s="18">
        <v>30</v>
      </c>
      <c r="F301" s="20" t="s">
        <v>2485</v>
      </c>
      <c r="G301" s="17" t="s">
        <v>508</v>
      </c>
      <c r="H301" s="19" t="s">
        <v>57</v>
      </c>
      <c r="I301" s="18">
        <v>6</v>
      </c>
      <c r="J301" s="17" t="s">
        <v>80</v>
      </c>
      <c r="K301" s="17" t="s">
        <v>187</v>
      </c>
      <c r="L301" s="17"/>
      <c r="M301" s="17"/>
      <c r="N301" s="16" t="str">
        <f>HYPERLINK("http://slimages.macys.com/is/image/MCY/19109345 ")</f>
        <v xml:space="preserve">http://slimages.macys.com/is/image/MCY/19109345 </v>
      </c>
      <c r="O301" s="37"/>
    </row>
    <row r="302" spans="1:15" ht="48" x14ac:dyDescent="0.25">
      <c r="A302" s="19" t="s">
        <v>2484</v>
      </c>
      <c r="B302" s="17" t="s">
        <v>2483</v>
      </c>
      <c r="C302" s="20">
        <v>2</v>
      </c>
      <c r="D302" s="18">
        <v>25</v>
      </c>
      <c r="E302" s="18">
        <v>50</v>
      </c>
      <c r="F302" s="20" t="s">
        <v>2482</v>
      </c>
      <c r="G302" s="17" t="s">
        <v>558</v>
      </c>
      <c r="H302" s="19" t="s">
        <v>17</v>
      </c>
      <c r="I302" s="18">
        <v>5.86</v>
      </c>
      <c r="J302" s="17" t="s">
        <v>16</v>
      </c>
      <c r="K302" s="17" t="s">
        <v>15</v>
      </c>
      <c r="L302" s="17"/>
      <c r="M302" s="17"/>
      <c r="N302" s="16" t="str">
        <f>HYPERLINK("http://slimages.macys.com/is/image/MCY/19147143 ")</f>
        <v xml:space="preserve">http://slimages.macys.com/is/image/MCY/19147143 </v>
      </c>
      <c r="O302" s="37"/>
    </row>
    <row r="303" spans="1:15" ht="48" x14ac:dyDescent="0.25">
      <c r="A303" s="19" t="s">
        <v>2481</v>
      </c>
      <c r="B303" s="17" t="s">
        <v>2480</v>
      </c>
      <c r="C303" s="20">
        <v>7</v>
      </c>
      <c r="D303" s="18">
        <v>25</v>
      </c>
      <c r="E303" s="18">
        <v>175</v>
      </c>
      <c r="F303" s="20" t="s">
        <v>2469</v>
      </c>
      <c r="G303" s="17" t="s">
        <v>149</v>
      </c>
      <c r="H303" s="19" t="s">
        <v>62</v>
      </c>
      <c r="I303" s="18">
        <v>5.8533333333333335</v>
      </c>
      <c r="J303" s="17" t="s">
        <v>16</v>
      </c>
      <c r="K303" s="17" t="s">
        <v>15</v>
      </c>
      <c r="L303" s="17"/>
      <c r="M303" s="17"/>
      <c r="N303" s="16" t="str">
        <f>HYPERLINK("http://slimages.macys.com/is/image/MCY/19544562 ")</f>
        <v xml:space="preserve">http://slimages.macys.com/is/image/MCY/19544562 </v>
      </c>
      <c r="O303" s="37"/>
    </row>
    <row r="304" spans="1:15" ht="48" x14ac:dyDescent="0.25">
      <c r="A304" s="19" t="s">
        <v>2479</v>
      </c>
      <c r="B304" s="17" t="s">
        <v>2478</v>
      </c>
      <c r="C304" s="20">
        <v>6</v>
      </c>
      <c r="D304" s="18">
        <v>25</v>
      </c>
      <c r="E304" s="18">
        <v>150</v>
      </c>
      <c r="F304" s="20" t="s">
        <v>2469</v>
      </c>
      <c r="G304" s="17" t="s">
        <v>149</v>
      </c>
      <c r="H304" s="19" t="s">
        <v>101</v>
      </c>
      <c r="I304" s="18">
        <v>5.8533333333333335</v>
      </c>
      <c r="J304" s="17" t="s">
        <v>16</v>
      </c>
      <c r="K304" s="17" t="s">
        <v>15</v>
      </c>
      <c r="L304" s="17"/>
      <c r="M304" s="17"/>
      <c r="N304" s="16" t="str">
        <f>HYPERLINK("http://slimages.macys.com/is/image/MCY/19544562 ")</f>
        <v xml:space="preserve">http://slimages.macys.com/is/image/MCY/19544562 </v>
      </c>
      <c r="O304" s="37"/>
    </row>
    <row r="305" spans="1:15" ht="48" x14ac:dyDescent="0.25">
      <c r="A305" s="19" t="s">
        <v>2477</v>
      </c>
      <c r="B305" s="17" t="s">
        <v>2476</v>
      </c>
      <c r="C305" s="20">
        <v>5</v>
      </c>
      <c r="D305" s="18">
        <v>25</v>
      </c>
      <c r="E305" s="18">
        <v>125</v>
      </c>
      <c r="F305" s="20" t="s">
        <v>2469</v>
      </c>
      <c r="G305" s="17" t="s">
        <v>149</v>
      </c>
      <c r="H305" s="19" t="s">
        <v>27</v>
      </c>
      <c r="I305" s="18">
        <v>5.8533333333333335</v>
      </c>
      <c r="J305" s="17" t="s">
        <v>16</v>
      </c>
      <c r="K305" s="17" t="s">
        <v>15</v>
      </c>
      <c r="L305" s="17"/>
      <c r="M305" s="17"/>
      <c r="N305" s="16" t="str">
        <f>HYPERLINK("http://slimages.macys.com/is/image/MCY/19544562 ")</f>
        <v xml:space="preserve">http://slimages.macys.com/is/image/MCY/19544562 </v>
      </c>
      <c r="O305" s="37"/>
    </row>
    <row r="306" spans="1:15" ht="48" x14ac:dyDescent="0.25">
      <c r="A306" s="19" t="s">
        <v>2475</v>
      </c>
      <c r="B306" s="17" t="s">
        <v>2474</v>
      </c>
      <c r="C306" s="20">
        <v>14</v>
      </c>
      <c r="D306" s="18">
        <v>25</v>
      </c>
      <c r="E306" s="18">
        <v>350</v>
      </c>
      <c r="F306" s="20" t="s">
        <v>2469</v>
      </c>
      <c r="G306" s="17" t="s">
        <v>149</v>
      </c>
      <c r="H306" s="19" t="s">
        <v>22</v>
      </c>
      <c r="I306" s="18">
        <v>5.8533333333333335</v>
      </c>
      <c r="J306" s="17" t="s">
        <v>16</v>
      </c>
      <c r="K306" s="17" t="s">
        <v>15</v>
      </c>
      <c r="L306" s="17"/>
      <c r="M306" s="17"/>
      <c r="N306" s="16" t="str">
        <f>HYPERLINK("http://slimages.macys.com/is/image/MCY/19544562 ")</f>
        <v xml:space="preserve">http://slimages.macys.com/is/image/MCY/19544562 </v>
      </c>
      <c r="O306" s="37"/>
    </row>
    <row r="307" spans="1:15" ht="48" x14ac:dyDescent="0.25">
      <c r="A307" s="19" t="s">
        <v>2473</v>
      </c>
      <c r="B307" s="17" t="s">
        <v>2472</v>
      </c>
      <c r="C307" s="20">
        <v>1</v>
      </c>
      <c r="D307" s="18">
        <v>25</v>
      </c>
      <c r="E307" s="18">
        <v>25</v>
      </c>
      <c r="F307" s="20" t="s">
        <v>965</v>
      </c>
      <c r="G307" s="17" t="s">
        <v>23</v>
      </c>
      <c r="H307" s="19" t="s">
        <v>27</v>
      </c>
      <c r="I307" s="18">
        <v>5.8533333333333335</v>
      </c>
      <c r="J307" s="17" t="s">
        <v>16</v>
      </c>
      <c r="K307" s="17" t="s">
        <v>15</v>
      </c>
      <c r="L307" s="17"/>
      <c r="M307" s="17"/>
      <c r="N307" s="16" t="str">
        <f>HYPERLINK("http://slimages.macys.com/is/image/MCY/19419444 ")</f>
        <v xml:space="preserve">http://slimages.macys.com/is/image/MCY/19419444 </v>
      </c>
      <c r="O307" s="37"/>
    </row>
    <row r="308" spans="1:15" ht="48" x14ac:dyDescent="0.25">
      <c r="A308" s="19" t="s">
        <v>2471</v>
      </c>
      <c r="B308" s="17" t="s">
        <v>2470</v>
      </c>
      <c r="C308" s="20">
        <v>16</v>
      </c>
      <c r="D308" s="18">
        <v>25</v>
      </c>
      <c r="E308" s="18">
        <v>400</v>
      </c>
      <c r="F308" s="20" t="s">
        <v>2469</v>
      </c>
      <c r="G308" s="17" t="s">
        <v>149</v>
      </c>
      <c r="H308" s="19" t="s">
        <v>50</v>
      </c>
      <c r="I308" s="18">
        <v>5.8533333333333335</v>
      </c>
      <c r="J308" s="17" t="s">
        <v>16</v>
      </c>
      <c r="K308" s="17" t="s">
        <v>15</v>
      </c>
      <c r="L308" s="17"/>
      <c r="M308" s="17"/>
      <c r="N308" s="16" t="str">
        <f>HYPERLINK("http://slimages.macys.com/is/image/MCY/19544562 ")</f>
        <v xml:space="preserve">http://slimages.macys.com/is/image/MCY/19544562 </v>
      </c>
      <c r="O308" s="37"/>
    </row>
    <row r="309" spans="1:15" ht="36" x14ac:dyDescent="0.25">
      <c r="A309" s="19" t="s">
        <v>2468</v>
      </c>
      <c r="B309" s="17" t="s">
        <v>2467</v>
      </c>
      <c r="C309" s="20">
        <v>1</v>
      </c>
      <c r="D309" s="18">
        <v>25</v>
      </c>
      <c r="E309" s="18">
        <v>25</v>
      </c>
      <c r="F309" s="20" t="s">
        <v>2466</v>
      </c>
      <c r="G309" s="17" t="s">
        <v>23</v>
      </c>
      <c r="H309" s="19" t="s">
        <v>62</v>
      </c>
      <c r="I309" s="18">
        <v>5.8533333333333335</v>
      </c>
      <c r="J309" s="17" t="s">
        <v>16</v>
      </c>
      <c r="K309" s="17" t="s">
        <v>15</v>
      </c>
      <c r="L309" s="17"/>
      <c r="M309" s="17"/>
      <c r="N309" s="16" t="str">
        <f>HYPERLINK("http://slimages.macys.com/is/image/MCY/18520742 ")</f>
        <v xml:space="preserve">http://slimages.macys.com/is/image/MCY/18520742 </v>
      </c>
      <c r="O309" s="37"/>
    </row>
    <row r="310" spans="1:15" ht="48" x14ac:dyDescent="0.25">
      <c r="A310" s="19" t="s">
        <v>2465</v>
      </c>
      <c r="B310" s="17" t="s">
        <v>2464</v>
      </c>
      <c r="C310" s="20">
        <v>1</v>
      </c>
      <c r="D310" s="18">
        <v>39</v>
      </c>
      <c r="E310" s="18">
        <v>39</v>
      </c>
      <c r="F310" s="20">
        <v>2321609</v>
      </c>
      <c r="G310" s="17" t="s">
        <v>23</v>
      </c>
      <c r="H310" s="19" t="s">
        <v>17</v>
      </c>
      <c r="I310" s="18">
        <v>5.666666666666667</v>
      </c>
      <c r="J310" s="17" t="s">
        <v>80</v>
      </c>
      <c r="K310" s="17" t="s">
        <v>293</v>
      </c>
      <c r="L310" s="17"/>
      <c r="M310" s="17"/>
      <c r="N310" s="16" t="str">
        <f>HYPERLINK("http://slimages.macys.com/is/image/MCY/18605597 ")</f>
        <v xml:space="preserve">http://slimages.macys.com/is/image/MCY/18605597 </v>
      </c>
      <c r="O310" s="37"/>
    </row>
    <row r="311" spans="1:15" ht="48" x14ac:dyDescent="0.25">
      <c r="A311" s="19" t="s">
        <v>2463</v>
      </c>
      <c r="B311" s="17" t="s">
        <v>2462</v>
      </c>
      <c r="C311" s="20">
        <v>1</v>
      </c>
      <c r="D311" s="18">
        <v>20</v>
      </c>
      <c r="E311" s="18">
        <v>20</v>
      </c>
      <c r="F311" s="20" t="s">
        <v>2459</v>
      </c>
      <c r="G311" s="17" t="s">
        <v>51</v>
      </c>
      <c r="H311" s="19" t="s">
        <v>50</v>
      </c>
      <c r="I311" s="18">
        <v>4.9533333333333331</v>
      </c>
      <c r="J311" s="17" t="s">
        <v>16</v>
      </c>
      <c r="K311" s="17" t="s">
        <v>15</v>
      </c>
      <c r="L311" s="17"/>
      <c r="M311" s="17"/>
      <c r="N311" s="16" t="str">
        <f>HYPERLINK("http://slimages.macys.com/is/image/MCY/19147497 ")</f>
        <v xml:space="preserve">http://slimages.macys.com/is/image/MCY/19147497 </v>
      </c>
      <c r="O311" s="37"/>
    </row>
    <row r="312" spans="1:15" ht="48" x14ac:dyDescent="0.25">
      <c r="A312" s="19" t="s">
        <v>2461</v>
      </c>
      <c r="B312" s="17" t="s">
        <v>2460</v>
      </c>
      <c r="C312" s="20">
        <v>1</v>
      </c>
      <c r="D312" s="18">
        <v>20</v>
      </c>
      <c r="E312" s="18">
        <v>20</v>
      </c>
      <c r="F312" s="20" t="s">
        <v>2459</v>
      </c>
      <c r="G312" s="17" t="s">
        <v>51</v>
      </c>
      <c r="H312" s="19" t="s">
        <v>62</v>
      </c>
      <c r="I312" s="18">
        <v>4.9533333333333331</v>
      </c>
      <c r="J312" s="17" t="s">
        <v>16</v>
      </c>
      <c r="K312" s="17" t="s">
        <v>15</v>
      </c>
      <c r="L312" s="17"/>
      <c r="M312" s="17"/>
      <c r="N312" s="16" t="str">
        <f>HYPERLINK("http://slimages.macys.com/is/image/MCY/19147497 ")</f>
        <v xml:space="preserve">http://slimages.macys.com/is/image/MCY/19147497 </v>
      </c>
      <c r="O312" s="37"/>
    </row>
    <row r="313" spans="1:15" ht="48" x14ac:dyDescent="0.25">
      <c r="A313" s="19" t="s">
        <v>2458</v>
      </c>
      <c r="B313" s="17" t="s">
        <v>2457</v>
      </c>
      <c r="C313" s="20">
        <v>1</v>
      </c>
      <c r="D313" s="18">
        <v>25</v>
      </c>
      <c r="E313" s="18">
        <v>25</v>
      </c>
      <c r="F313" s="20" t="s">
        <v>165</v>
      </c>
      <c r="G313" s="17" t="s">
        <v>558</v>
      </c>
      <c r="H313" s="19" t="s">
        <v>17</v>
      </c>
      <c r="I313" s="18">
        <v>3.82</v>
      </c>
      <c r="J313" s="17" t="s">
        <v>16</v>
      </c>
      <c r="K313" s="17" t="s">
        <v>15</v>
      </c>
      <c r="L313" s="17"/>
      <c r="M313" s="17"/>
      <c r="N313" s="16" t="str">
        <f>HYPERLINK("http://slimages.macys.com/is/image/MCY/19146922 ")</f>
        <v xml:space="preserve">http://slimages.macys.com/is/image/MCY/19146922 </v>
      </c>
      <c r="O313" s="37"/>
    </row>
    <row r="314" spans="1:15" ht="48" x14ac:dyDescent="0.25">
      <c r="A314" s="19" t="s">
        <v>2456</v>
      </c>
      <c r="B314" s="17" t="s">
        <v>2455</v>
      </c>
      <c r="C314" s="20">
        <v>3</v>
      </c>
      <c r="D314" s="18">
        <v>25</v>
      </c>
      <c r="E314" s="18">
        <v>75</v>
      </c>
      <c r="F314" s="20" t="s">
        <v>165</v>
      </c>
      <c r="G314" s="17" t="s">
        <v>140</v>
      </c>
      <c r="H314" s="19" t="s">
        <v>22</v>
      </c>
      <c r="I314" s="18">
        <v>3.82</v>
      </c>
      <c r="J314" s="17" t="s">
        <v>16</v>
      </c>
      <c r="K314" s="17" t="s">
        <v>15</v>
      </c>
      <c r="L314" s="17"/>
      <c r="M314" s="17"/>
      <c r="N314" s="16" t="str">
        <f>HYPERLINK("http://slimages.macys.com/is/image/MCY/19146922 ")</f>
        <v xml:space="preserve">http://slimages.macys.com/is/image/MCY/19146922 </v>
      </c>
      <c r="O314" s="37"/>
    </row>
    <row r="315" spans="1:15" ht="48" x14ac:dyDescent="0.25">
      <c r="A315" s="19" t="s">
        <v>2454</v>
      </c>
      <c r="B315" s="17" t="s">
        <v>2453</v>
      </c>
      <c r="C315" s="20">
        <v>1</v>
      </c>
      <c r="D315" s="18">
        <v>25</v>
      </c>
      <c r="E315" s="18">
        <v>25</v>
      </c>
      <c r="F315" s="20" t="s">
        <v>165</v>
      </c>
      <c r="G315" s="17" t="s">
        <v>140</v>
      </c>
      <c r="H315" s="19" t="s">
        <v>62</v>
      </c>
      <c r="I315" s="18">
        <v>3.82</v>
      </c>
      <c r="J315" s="17" t="s">
        <v>16</v>
      </c>
      <c r="K315" s="17" t="s">
        <v>15</v>
      </c>
      <c r="L315" s="17"/>
      <c r="M315" s="17"/>
      <c r="N315" s="16" t="str">
        <f>HYPERLINK("http://slimages.macys.com/is/image/MCY/19146922 ")</f>
        <v xml:space="preserve">http://slimages.macys.com/is/image/MCY/19146922 </v>
      </c>
      <c r="O315" s="37"/>
    </row>
    <row r="316" spans="1:15" ht="48" x14ac:dyDescent="0.25">
      <c r="A316" s="19" t="s">
        <v>2452</v>
      </c>
      <c r="B316" s="17" t="s">
        <v>2451</v>
      </c>
      <c r="C316" s="20">
        <v>1</v>
      </c>
      <c r="D316" s="18">
        <v>25</v>
      </c>
      <c r="E316" s="18">
        <v>25</v>
      </c>
      <c r="F316" s="20" t="s">
        <v>962</v>
      </c>
      <c r="G316" s="17" t="s">
        <v>149</v>
      </c>
      <c r="H316" s="19" t="s">
        <v>22</v>
      </c>
      <c r="I316" s="18">
        <v>3.813333333333333</v>
      </c>
      <c r="J316" s="17" t="s">
        <v>16</v>
      </c>
      <c r="K316" s="17" t="s">
        <v>15</v>
      </c>
      <c r="L316" s="17"/>
      <c r="M316" s="17"/>
      <c r="N316" s="16" t="str">
        <f>HYPERLINK("http://slimages.macys.com/is/image/MCY/18628115 ")</f>
        <v xml:space="preserve">http://slimages.macys.com/is/image/MCY/18628115 </v>
      </c>
      <c r="O316" s="37"/>
    </row>
    <row r="317" spans="1:15" ht="60" x14ac:dyDescent="0.25">
      <c r="A317" s="19" t="s">
        <v>2450</v>
      </c>
      <c r="B317" s="17" t="s">
        <v>2449</v>
      </c>
      <c r="C317" s="20">
        <v>2</v>
      </c>
      <c r="D317" s="18">
        <v>275</v>
      </c>
      <c r="E317" s="18">
        <v>550</v>
      </c>
      <c r="F317" s="20" t="s">
        <v>955</v>
      </c>
      <c r="G317" s="17" t="s">
        <v>562</v>
      </c>
      <c r="H317" s="19" t="s">
        <v>69</v>
      </c>
      <c r="I317" s="18">
        <v>75</v>
      </c>
      <c r="J317" s="17" t="s">
        <v>133</v>
      </c>
      <c r="K317" s="17" t="s">
        <v>953</v>
      </c>
      <c r="L317" s="17"/>
      <c r="M317" s="17"/>
      <c r="N317" s="16"/>
      <c r="O317" s="37"/>
    </row>
    <row r="318" spans="1:15" ht="36" x14ac:dyDescent="0.25">
      <c r="A318" s="19" t="s">
        <v>1667</v>
      </c>
      <c r="B318" s="17" t="s">
        <v>904</v>
      </c>
      <c r="C318" s="20">
        <v>1</v>
      </c>
      <c r="D318" s="18">
        <v>128</v>
      </c>
      <c r="E318" s="18">
        <v>128</v>
      </c>
      <c r="F318" s="20" t="s">
        <v>903</v>
      </c>
      <c r="G318" s="17" t="s">
        <v>51</v>
      </c>
      <c r="H318" s="19" t="s">
        <v>69</v>
      </c>
      <c r="I318" s="18">
        <v>29.866666666666671</v>
      </c>
      <c r="J318" s="17" t="s">
        <v>133</v>
      </c>
      <c r="K318" s="17" t="s">
        <v>132</v>
      </c>
      <c r="L318" s="17"/>
      <c r="M318" s="17"/>
      <c r="N318" s="16"/>
      <c r="O318" s="37"/>
    </row>
    <row r="319" spans="1:15" ht="36" x14ac:dyDescent="0.25">
      <c r="A319" s="19" t="s">
        <v>2448</v>
      </c>
      <c r="B319" s="17" t="s">
        <v>1663</v>
      </c>
      <c r="C319" s="20">
        <v>3</v>
      </c>
      <c r="D319" s="18">
        <v>118</v>
      </c>
      <c r="E319" s="18">
        <v>354</v>
      </c>
      <c r="F319" s="20" t="s">
        <v>1662</v>
      </c>
      <c r="G319" s="17" t="s">
        <v>51</v>
      </c>
      <c r="H319" s="19" t="s">
        <v>69</v>
      </c>
      <c r="I319" s="18">
        <v>27.533333333333335</v>
      </c>
      <c r="J319" s="17" t="s">
        <v>133</v>
      </c>
      <c r="K319" s="17" t="s">
        <v>132</v>
      </c>
      <c r="L319" s="17"/>
      <c r="M319" s="17"/>
      <c r="N319" s="16"/>
      <c r="O319" s="37"/>
    </row>
    <row r="320" spans="1:15" ht="36" x14ac:dyDescent="0.25">
      <c r="A320" s="19" t="s">
        <v>848</v>
      </c>
      <c r="B320" s="17" t="s">
        <v>846</v>
      </c>
      <c r="C320" s="20">
        <v>1</v>
      </c>
      <c r="D320" s="18">
        <v>98</v>
      </c>
      <c r="E320" s="18">
        <v>98</v>
      </c>
      <c r="F320" s="20" t="s">
        <v>845</v>
      </c>
      <c r="G320" s="17" t="s">
        <v>23</v>
      </c>
      <c r="H320" s="19" t="s">
        <v>57</v>
      </c>
      <c r="I320" s="18">
        <v>22.666666666666668</v>
      </c>
      <c r="J320" s="17" t="s">
        <v>133</v>
      </c>
      <c r="K320" s="17" t="s">
        <v>833</v>
      </c>
      <c r="L320" s="17"/>
      <c r="M320" s="17"/>
      <c r="N320" s="16"/>
      <c r="O320" s="37"/>
    </row>
    <row r="321" spans="1:15" ht="36" x14ac:dyDescent="0.25">
      <c r="A321" s="19" t="s">
        <v>847</v>
      </c>
      <c r="B321" s="17" t="s">
        <v>846</v>
      </c>
      <c r="C321" s="20">
        <v>2</v>
      </c>
      <c r="D321" s="18">
        <v>98</v>
      </c>
      <c r="E321" s="18">
        <v>196</v>
      </c>
      <c r="F321" s="20" t="s">
        <v>845</v>
      </c>
      <c r="G321" s="17" t="s">
        <v>23</v>
      </c>
      <c r="H321" s="19" t="s">
        <v>74</v>
      </c>
      <c r="I321" s="18">
        <v>22.666666666666668</v>
      </c>
      <c r="J321" s="17" t="s">
        <v>133</v>
      </c>
      <c r="K321" s="17" t="s">
        <v>833</v>
      </c>
      <c r="L321" s="17"/>
      <c r="M321" s="17"/>
      <c r="N321" s="16"/>
      <c r="O321" s="37"/>
    </row>
    <row r="322" spans="1:15" ht="36" x14ac:dyDescent="0.25">
      <c r="A322" s="19" t="s">
        <v>842</v>
      </c>
      <c r="B322" s="17" t="s">
        <v>840</v>
      </c>
      <c r="C322" s="20">
        <v>7</v>
      </c>
      <c r="D322" s="18">
        <v>88</v>
      </c>
      <c r="E322" s="18">
        <v>616</v>
      </c>
      <c r="F322" s="20" t="s">
        <v>839</v>
      </c>
      <c r="G322" s="17" t="s">
        <v>23</v>
      </c>
      <c r="H322" s="19" t="s">
        <v>62</v>
      </c>
      <c r="I322" s="18">
        <v>20.666666666666668</v>
      </c>
      <c r="J322" s="17" t="s">
        <v>133</v>
      </c>
      <c r="K322" s="17" t="s">
        <v>833</v>
      </c>
      <c r="L322" s="17"/>
      <c r="M322" s="17"/>
      <c r="N322" s="16"/>
      <c r="O322" s="37"/>
    </row>
    <row r="323" spans="1:15" ht="48" x14ac:dyDescent="0.25">
      <c r="A323" s="19" t="s">
        <v>838</v>
      </c>
      <c r="B323" s="17" t="s">
        <v>837</v>
      </c>
      <c r="C323" s="20">
        <v>6</v>
      </c>
      <c r="D323" s="18">
        <v>78</v>
      </c>
      <c r="E323" s="18">
        <v>468</v>
      </c>
      <c r="F323" s="20" t="s">
        <v>834</v>
      </c>
      <c r="G323" s="17" t="s">
        <v>28</v>
      </c>
      <c r="H323" s="19" t="s">
        <v>62</v>
      </c>
      <c r="I323" s="18">
        <v>18.000000000000004</v>
      </c>
      <c r="J323" s="17" t="s">
        <v>133</v>
      </c>
      <c r="K323" s="17" t="s">
        <v>833</v>
      </c>
      <c r="L323" s="17"/>
      <c r="M323" s="17"/>
      <c r="N323" s="16"/>
      <c r="O323" s="37"/>
    </row>
    <row r="324" spans="1:15" ht="48" x14ac:dyDescent="0.25">
      <c r="A324" s="19" t="s">
        <v>836</v>
      </c>
      <c r="B324" s="17" t="s">
        <v>835</v>
      </c>
      <c r="C324" s="20">
        <v>3</v>
      </c>
      <c r="D324" s="18">
        <v>78</v>
      </c>
      <c r="E324" s="18">
        <v>234</v>
      </c>
      <c r="F324" s="20" t="s">
        <v>834</v>
      </c>
      <c r="G324" s="17" t="s">
        <v>28</v>
      </c>
      <c r="H324" s="19" t="s">
        <v>74</v>
      </c>
      <c r="I324" s="18">
        <v>18.000000000000004</v>
      </c>
      <c r="J324" s="17" t="s">
        <v>133</v>
      </c>
      <c r="K324" s="17" t="s">
        <v>833</v>
      </c>
      <c r="L324" s="17"/>
      <c r="M324" s="17"/>
      <c r="N324" s="16"/>
      <c r="O324" s="37"/>
    </row>
    <row r="325" spans="1:15" ht="48" x14ac:dyDescent="0.25">
      <c r="A325" s="19" t="s">
        <v>2447</v>
      </c>
      <c r="B325" s="17" t="s">
        <v>2446</v>
      </c>
      <c r="C325" s="20">
        <v>9</v>
      </c>
      <c r="D325" s="18">
        <v>78</v>
      </c>
      <c r="E325" s="18">
        <v>702</v>
      </c>
      <c r="F325" s="20" t="s">
        <v>834</v>
      </c>
      <c r="G325" s="17" t="s">
        <v>28</v>
      </c>
      <c r="H325" s="19" t="s">
        <v>69</v>
      </c>
      <c r="I325" s="18">
        <v>18.000000000000004</v>
      </c>
      <c r="J325" s="17" t="s">
        <v>133</v>
      </c>
      <c r="K325" s="17" t="s">
        <v>833</v>
      </c>
      <c r="L325" s="17"/>
      <c r="M325" s="17"/>
      <c r="N325" s="16"/>
      <c r="O325" s="37"/>
    </row>
    <row r="326" spans="1:15" ht="48" x14ac:dyDescent="0.25">
      <c r="A326" s="19" t="s">
        <v>2445</v>
      </c>
      <c r="B326" s="17" t="s">
        <v>2444</v>
      </c>
      <c r="C326" s="20">
        <v>1</v>
      </c>
      <c r="D326" s="18">
        <v>55.3</v>
      </c>
      <c r="E326" s="18">
        <v>55.3</v>
      </c>
      <c r="F326" s="20" t="s">
        <v>1631</v>
      </c>
      <c r="G326" s="17" t="s">
        <v>58</v>
      </c>
      <c r="H326" s="19" t="s">
        <v>197</v>
      </c>
      <c r="I326" s="18">
        <v>14.426666666666668</v>
      </c>
      <c r="J326" s="17" t="s">
        <v>42</v>
      </c>
      <c r="K326" s="17" t="s">
        <v>41</v>
      </c>
      <c r="L326" s="17"/>
      <c r="M326" s="17"/>
      <c r="N326" s="16"/>
      <c r="O326" s="37"/>
    </row>
    <row r="327" spans="1:15" ht="60" x14ac:dyDescent="0.25">
      <c r="A327" s="19" t="s">
        <v>1630</v>
      </c>
      <c r="B327" s="17" t="s">
        <v>1629</v>
      </c>
      <c r="C327" s="20">
        <v>4</v>
      </c>
      <c r="D327" s="18">
        <v>69.5</v>
      </c>
      <c r="E327" s="18">
        <v>278</v>
      </c>
      <c r="F327" s="20" t="s">
        <v>1628</v>
      </c>
      <c r="G327" s="17" t="s">
        <v>544</v>
      </c>
      <c r="H327" s="19" t="s">
        <v>197</v>
      </c>
      <c r="I327" s="18">
        <v>14.000000000000002</v>
      </c>
      <c r="J327" s="17" t="s">
        <v>106</v>
      </c>
      <c r="K327" s="17" t="s">
        <v>105</v>
      </c>
      <c r="L327" s="17"/>
      <c r="M327" s="17"/>
      <c r="N327" s="16"/>
      <c r="O327" s="37"/>
    </row>
    <row r="328" spans="1:15" ht="60" x14ac:dyDescent="0.25">
      <c r="A328" s="19" t="s">
        <v>2443</v>
      </c>
      <c r="B328" s="17" t="s">
        <v>2442</v>
      </c>
      <c r="C328" s="20">
        <v>2</v>
      </c>
      <c r="D328" s="18">
        <v>69.5</v>
      </c>
      <c r="E328" s="18">
        <v>139</v>
      </c>
      <c r="F328" s="20" t="s">
        <v>1628</v>
      </c>
      <c r="G328" s="17" t="s">
        <v>544</v>
      </c>
      <c r="H328" s="19" t="s">
        <v>57</v>
      </c>
      <c r="I328" s="18">
        <v>14.000000000000002</v>
      </c>
      <c r="J328" s="17" t="s">
        <v>106</v>
      </c>
      <c r="K328" s="17" t="s">
        <v>105</v>
      </c>
      <c r="L328" s="17"/>
      <c r="M328" s="17"/>
      <c r="N328" s="16"/>
      <c r="O328" s="37"/>
    </row>
    <row r="329" spans="1:15" ht="36" x14ac:dyDescent="0.25">
      <c r="A329" s="19" t="s">
        <v>2441</v>
      </c>
      <c r="B329" s="17" t="s">
        <v>2440</v>
      </c>
      <c r="C329" s="20">
        <v>1</v>
      </c>
      <c r="D329" s="18">
        <v>89</v>
      </c>
      <c r="E329" s="18">
        <v>89</v>
      </c>
      <c r="F329" s="20" t="s">
        <v>2439</v>
      </c>
      <c r="G329" s="17" t="s">
        <v>51</v>
      </c>
      <c r="H329" s="19" t="s">
        <v>682</v>
      </c>
      <c r="I329" s="18">
        <v>11.866666666666667</v>
      </c>
      <c r="J329" s="17" t="s">
        <v>678</v>
      </c>
      <c r="K329" s="17" t="s">
        <v>404</v>
      </c>
      <c r="L329" s="17"/>
      <c r="M329" s="17"/>
      <c r="N329" s="16"/>
      <c r="O329" s="37"/>
    </row>
    <row r="330" spans="1:15" ht="48" x14ac:dyDescent="0.25">
      <c r="A330" s="19" t="s">
        <v>2438</v>
      </c>
      <c r="B330" s="17" t="s">
        <v>2437</v>
      </c>
      <c r="C330" s="20">
        <v>1</v>
      </c>
      <c r="D330" s="18">
        <v>59.5</v>
      </c>
      <c r="E330" s="18">
        <v>59.5</v>
      </c>
      <c r="F330" s="20" t="s">
        <v>2436</v>
      </c>
      <c r="G330" s="17" t="s">
        <v>58</v>
      </c>
      <c r="H330" s="19" t="s">
        <v>271</v>
      </c>
      <c r="I330" s="18">
        <v>11.206666666666667</v>
      </c>
      <c r="J330" s="17" t="s">
        <v>1891</v>
      </c>
      <c r="K330" s="17" t="s">
        <v>2435</v>
      </c>
      <c r="L330" s="17"/>
      <c r="M330" s="17"/>
      <c r="N330" s="16"/>
      <c r="O330" s="37"/>
    </row>
    <row r="331" spans="1:15" ht="48" x14ac:dyDescent="0.25">
      <c r="A331" s="19" t="s">
        <v>2434</v>
      </c>
      <c r="B331" s="17" t="s">
        <v>1623</v>
      </c>
      <c r="C331" s="20">
        <v>1</v>
      </c>
      <c r="D331" s="18">
        <v>49</v>
      </c>
      <c r="E331" s="18">
        <v>49</v>
      </c>
      <c r="F331" s="20" t="s">
        <v>1622</v>
      </c>
      <c r="G331" s="17" t="s">
        <v>575</v>
      </c>
      <c r="H331" s="19" t="s">
        <v>62</v>
      </c>
      <c r="I331" s="18">
        <v>9.1466666666666683</v>
      </c>
      <c r="J331" s="17" t="s">
        <v>820</v>
      </c>
      <c r="K331" s="17" t="s">
        <v>67</v>
      </c>
      <c r="L331" s="17"/>
      <c r="M331" s="17"/>
      <c r="N331" s="16"/>
      <c r="O331" s="37"/>
    </row>
    <row r="332" spans="1:15" ht="48" x14ac:dyDescent="0.25">
      <c r="A332" s="19" t="s">
        <v>2433</v>
      </c>
      <c r="B332" s="17" t="s">
        <v>2432</v>
      </c>
      <c r="C332" s="20">
        <v>9</v>
      </c>
      <c r="D332" s="18">
        <v>34.299999999999997</v>
      </c>
      <c r="E332" s="18">
        <v>308.7</v>
      </c>
      <c r="F332" s="20" t="s">
        <v>1617</v>
      </c>
      <c r="G332" s="17" t="s">
        <v>433</v>
      </c>
      <c r="H332" s="19" t="s">
        <v>57</v>
      </c>
      <c r="I332" s="18">
        <v>8.9466666666666672</v>
      </c>
      <c r="J332" s="17" t="s">
        <v>42</v>
      </c>
      <c r="K332" s="17" t="s">
        <v>41</v>
      </c>
      <c r="L332" s="17"/>
      <c r="M332" s="17"/>
      <c r="N332" s="16"/>
      <c r="O332" s="37"/>
    </row>
    <row r="333" spans="1:15" ht="48" x14ac:dyDescent="0.25">
      <c r="A333" s="19" t="s">
        <v>2431</v>
      </c>
      <c r="B333" s="17" t="s">
        <v>2430</v>
      </c>
      <c r="C333" s="20">
        <v>1</v>
      </c>
      <c r="D333" s="18">
        <v>34.299999999999997</v>
      </c>
      <c r="E333" s="18">
        <v>34.299999999999997</v>
      </c>
      <c r="F333" s="20" t="s">
        <v>1617</v>
      </c>
      <c r="G333" s="17" t="s">
        <v>433</v>
      </c>
      <c r="H333" s="19" t="s">
        <v>197</v>
      </c>
      <c r="I333" s="18">
        <v>8.9466666666666672</v>
      </c>
      <c r="J333" s="17" t="s">
        <v>42</v>
      </c>
      <c r="K333" s="17" t="s">
        <v>41</v>
      </c>
      <c r="L333" s="17"/>
      <c r="M333" s="17"/>
      <c r="N333" s="16"/>
      <c r="O333" s="37"/>
    </row>
    <row r="334" spans="1:15" ht="48" x14ac:dyDescent="0.25">
      <c r="A334" s="19" t="s">
        <v>1621</v>
      </c>
      <c r="B334" s="17" t="s">
        <v>1620</v>
      </c>
      <c r="C334" s="20">
        <v>2</v>
      </c>
      <c r="D334" s="18">
        <v>34.299999999999997</v>
      </c>
      <c r="E334" s="18">
        <v>68.599999999999994</v>
      </c>
      <c r="F334" s="20" t="s">
        <v>1617</v>
      </c>
      <c r="G334" s="17" t="s">
        <v>58</v>
      </c>
      <c r="H334" s="19" t="s">
        <v>69</v>
      </c>
      <c r="I334" s="18">
        <v>8.9466666666666672</v>
      </c>
      <c r="J334" s="17" t="s">
        <v>42</v>
      </c>
      <c r="K334" s="17" t="s">
        <v>41</v>
      </c>
      <c r="L334" s="17"/>
      <c r="M334" s="17"/>
      <c r="N334" s="16"/>
      <c r="O334" s="37"/>
    </row>
    <row r="335" spans="1:15" ht="48" x14ac:dyDescent="0.25">
      <c r="A335" s="19" t="s">
        <v>2429</v>
      </c>
      <c r="B335" s="17" t="s">
        <v>2428</v>
      </c>
      <c r="C335" s="20">
        <v>1</v>
      </c>
      <c r="D335" s="18">
        <v>34.299999999999997</v>
      </c>
      <c r="E335" s="18">
        <v>34.299999999999997</v>
      </c>
      <c r="F335" s="20" t="s">
        <v>45</v>
      </c>
      <c r="G335" s="17" t="s">
        <v>339</v>
      </c>
      <c r="H335" s="19" t="s">
        <v>43</v>
      </c>
      <c r="I335" s="18">
        <v>7.8133333333333335</v>
      </c>
      <c r="J335" s="17" t="s">
        <v>42</v>
      </c>
      <c r="K335" s="17" t="s">
        <v>41</v>
      </c>
      <c r="L335" s="17"/>
      <c r="M335" s="17"/>
      <c r="N335" s="16"/>
      <c r="O335" s="37"/>
    </row>
  </sheetData>
  <pageMargins left="0.5" right="0.5" top="0.25" bottom="0.25" header="0.3" footer="0.3"/>
  <pageSetup scale="65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N497"/>
  <sheetViews>
    <sheetView workbookViewId="0">
      <selection activeCell="B16" sqref="B16"/>
    </sheetView>
  </sheetViews>
  <sheetFormatPr defaultRowHeight="15" x14ac:dyDescent="0.25"/>
  <cols>
    <col min="1" max="1" width="14.140625" style="15" bestFit="1" customWidth="1"/>
    <col min="2" max="2" width="50.85546875" style="15" customWidth="1"/>
    <col min="3" max="3" width="12.42578125" style="15" bestFit="1" customWidth="1"/>
    <col min="4" max="4" width="8.7109375" style="15" bestFit="1" customWidth="1"/>
    <col min="5" max="5" width="17.28515625" style="15" bestFit="1" customWidth="1"/>
    <col min="6" max="6" width="13.28515625" style="15" bestFit="1" customWidth="1"/>
    <col min="7" max="7" width="10.28515625" style="15" customWidth="1"/>
    <col min="8" max="8" width="11.7109375" style="15" bestFit="1" customWidth="1"/>
    <col min="9" max="9" width="11.28515625" style="15" bestFit="1" customWidth="1"/>
    <col min="10" max="11" width="11.42578125" style="15" customWidth="1"/>
    <col min="12" max="12" width="9.28515625" style="15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4" ht="36" x14ac:dyDescent="0.25">
      <c r="A1" s="40" t="s">
        <v>2</v>
      </c>
      <c r="B1" s="40" t="s">
        <v>3</v>
      </c>
      <c r="C1" s="40" t="s">
        <v>5</v>
      </c>
      <c r="D1" s="40" t="s">
        <v>817</v>
      </c>
      <c r="E1" s="40" t="s">
        <v>7</v>
      </c>
      <c r="F1" s="40" t="s">
        <v>816</v>
      </c>
      <c r="G1" s="40" t="s">
        <v>815</v>
      </c>
      <c r="H1" s="40" t="s">
        <v>814</v>
      </c>
      <c r="I1" s="40" t="s">
        <v>10</v>
      </c>
      <c r="J1" s="40"/>
      <c r="K1" s="40"/>
    </row>
    <row r="2" spans="1:14" ht="36" x14ac:dyDescent="0.25">
      <c r="A2" s="17" t="s">
        <v>14</v>
      </c>
      <c r="B2" s="32">
        <v>13971123</v>
      </c>
      <c r="C2" s="17" t="s">
        <v>11</v>
      </c>
      <c r="D2" s="17" t="s">
        <v>813</v>
      </c>
      <c r="E2" s="20">
        <v>1</v>
      </c>
      <c r="F2" s="20">
        <v>4</v>
      </c>
      <c r="G2" s="17">
        <v>548</v>
      </c>
      <c r="H2" s="18">
        <v>54960.83</v>
      </c>
      <c r="I2" s="17">
        <v>745</v>
      </c>
      <c r="J2" s="33"/>
      <c r="K2" s="33"/>
      <c r="L2" s="30"/>
      <c r="M2" s="30"/>
    </row>
    <row r="3" spans="1:14" x14ac:dyDescent="0.25">
      <c r="A3" s="23"/>
      <c r="B3" s="25"/>
      <c r="C3" s="25"/>
      <c r="D3" s="23"/>
      <c r="E3" s="23"/>
      <c r="F3" s="23"/>
      <c r="G3" s="25"/>
      <c r="H3" s="25"/>
      <c r="I3" s="23"/>
      <c r="J3" s="22"/>
      <c r="K3" s="22"/>
      <c r="L3" s="23"/>
      <c r="M3" s="22"/>
      <c r="N3" s="22"/>
    </row>
    <row r="4" spans="1:14" s="21" customFormat="1" x14ac:dyDescent="0.25"/>
    <row r="5" spans="1:14" x14ac:dyDescent="0.25">
      <c r="A5" s="1"/>
      <c r="B5" s="1"/>
      <c r="C5" s="1"/>
      <c r="D5" s="1"/>
    </row>
    <row r="6" spans="1:14" x14ac:dyDescent="0.25">
      <c r="A6" s="24"/>
      <c r="B6" s="23"/>
      <c r="C6" s="22"/>
      <c r="D6" s="22"/>
    </row>
    <row r="7" spans="1:14" s="21" customFormat="1" x14ac:dyDescent="0.25"/>
    <row r="8" spans="1:14" ht="24" x14ac:dyDescent="0.25">
      <c r="A8" s="40" t="s">
        <v>812</v>
      </c>
      <c r="B8" s="40" t="s">
        <v>811</v>
      </c>
      <c r="C8" s="40" t="s">
        <v>810</v>
      </c>
      <c r="D8" s="40" t="s">
        <v>9</v>
      </c>
      <c r="E8" s="40" t="s">
        <v>809</v>
      </c>
      <c r="F8" s="40" t="s">
        <v>808</v>
      </c>
      <c r="G8" s="40" t="s">
        <v>807</v>
      </c>
      <c r="H8" s="40" t="s">
        <v>806</v>
      </c>
      <c r="I8" s="40" t="s">
        <v>805</v>
      </c>
      <c r="J8" s="40" t="s">
        <v>804</v>
      </c>
      <c r="K8" s="40" t="s">
        <v>803</v>
      </c>
      <c r="L8" s="40" t="s">
        <v>802</v>
      </c>
      <c r="M8" s="40" t="s">
        <v>801</v>
      </c>
    </row>
    <row r="9" spans="1:14" ht="60" x14ac:dyDescent="0.25">
      <c r="A9" s="19" t="s">
        <v>4122</v>
      </c>
      <c r="B9" s="17" t="s">
        <v>4121</v>
      </c>
      <c r="C9" s="20">
        <v>1</v>
      </c>
      <c r="D9" s="18">
        <v>358</v>
      </c>
      <c r="E9" s="20" t="s">
        <v>4120</v>
      </c>
      <c r="F9" s="17" t="s">
        <v>51</v>
      </c>
      <c r="G9" s="19" t="s">
        <v>197</v>
      </c>
      <c r="H9" s="18">
        <v>112.73333333333333</v>
      </c>
      <c r="I9" s="17" t="s">
        <v>153</v>
      </c>
      <c r="J9" s="17" t="s">
        <v>153</v>
      </c>
      <c r="K9" s="17"/>
      <c r="L9" s="17"/>
      <c r="M9" s="16" t="str">
        <f>HYPERLINK("http://slimages.macys.com/is/image/MCY/18011100 ")</f>
        <v xml:space="preserve">http://slimages.macys.com/is/image/MCY/18011100 </v>
      </c>
      <c r="N9" s="30"/>
    </row>
    <row r="10" spans="1:14" ht="60" x14ac:dyDescent="0.25">
      <c r="A10" s="19" t="s">
        <v>2387</v>
      </c>
      <c r="B10" s="17" t="s">
        <v>2386</v>
      </c>
      <c r="C10" s="20">
        <v>1</v>
      </c>
      <c r="D10" s="18">
        <v>295</v>
      </c>
      <c r="E10" s="20" t="s">
        <v>1592</v>
      </c>
      <c r="F10" s="17" t="s">
        <v>51</v>
      </c>
      <c r="G10" s="19" t="s">
        <v>62</v>
      </c>
      <c r="H10" s="18">
        <v>81</v>
      </c>
      <c r="I10" s="17" t="s">
        <v>133</v>
      </c>
      <c r="J10" s="17" t="s">
        <v>953</v>
      </c>
      <c r="K10" s="17"/>
      <c r="L10" s="17"/>
      <c r="M10" s="16" t="str">
        <f>HYPERLINK("http://slimages.macys.com/is/image/MCY/19449413 ")</f>
        <v xml:space="preserve">http://slimages.macys.com/is/image/MCY/19449413 </v>
      </c>
      <c r="N10" s="30"/>
    </row>
    <row r="11" spans="1:14" ht="60" x14ac:dyDescent="0.25">
      <c r="A11" s="19" t="s">
        <v>4119</v>
      </c>
      <c r="B11" s="17" t="s">
        <v>4118</v>
      </c>
      <c r="C11" s="20">
        <v>1</v>
      </c>
      <c r="D11" s="18">
        <v>248</v>
      </c>
      <c r="E11" s="20" t="s">
        <v>4117</v>
      </c>
      <c r="F11" s="17" t="s">
        <v>1408</v>
      </c>
      <c r="G11" s="19" t="s">
        <v>757</v>
      </c>
      <c r="H11" s="18">
        <v>71.34</v>
      </c>
      <c r="I11" s="17" t="s">
        <v>756</v>
      </c>
      <c r="J11" s="17" t="s">
        <v>153</v>
      </c>
      <c r="K11" s="17"/>
      <c r="L11" s="17"/>
      <c r="M11" s="16" t="str">
        <f>HYPERLINK("http://slimages.macys.com/is/image/MCY/19652528 ")</f>
        <v xml:space="preserve">http://slimages.macys.com/is/image/MCY/19652528 </v>
      </c>
      <c r="N11" s="30"/>
    </row>
    <row r="12" spans="1:14" ht="60" x14ac:dyDescent="0.25">
      <c r="A12" s="19" t="s">
        <v>4116</v>
      </c>
      <c r="B12" s="17" t="s">
        <v>4115</v>
      </c>
      <c r="C12" s="20">
        <v>1</v>
      </c>
      <c r="D12" s="18">
        <v>228</v>
      </c>
      <c r="E12" s="20" t="s">
        <v>4114</v>
      </c>
      <c r="F12" s="17" t="s">
        <v>575</v>
      </c>
      <c r="G12" s="19"/>
      <c r="H12" s="18">
        <v>69.333333333333343</v>
      </c>
      <c r="I12" s="17" t="s">
        <v>148</v>
      </c>
      <c r="J12" s="17" t="s">
        <v>147</v>
      </c>
      <c r="K12" s="17"/>
      <c r="L12" s="17"/>
      <c r="M12" s="16" t="str">
        <f>HYPERLINK("http://slimages.macys.com/is/image/MCY/19781759 ")</f>
        <v xml:space="preserve">http://slimages.macys.com/is/image/MCY/19781759 </v>
      </c>
      <c r="N12" s="30"/>
    </row>
    <row r="13" spans="1:14" ht="60" x14ac:dyDescent="0.25">
      <c r="A13" s="19" t="s">
        <v>2346</v>
      </c>
      <c r="B13" s="17" t="s">
        <v>2345</v>
      </c>
      <c r="C13" s="20">
        <v>1</v>
      </c>
      <c r="D13" s="18">
        <v>198</v>
      </c>
      <c r="E13" s="20" t="s">
        <v>150</v>
      </c>
      <c r="F13" s="17" t="s">
        <v>149</v>
      </c>
      <c r="G13" s="19" t="s">
        <v>419</v>
      </c>
      <c r="H13" s="18">
        <v>60</v>
      </c>
      <c r="I13" s="17" t="s">
        <v>148</v>
      </c>
      <c r="J13" s="17" t="s">
        <v>147</v>
      </c>
      <c r="K13" s="17"/>
      <c r="L13" s="17"/>
      <c r="M13" s="16" t="str">
        <f>HYPERLINK("http://slimages.macys.com/is/image/MCY/19074094 ")</f>
        <v xml:space="preserve">http://slimages.macys.com/is/image/MCY/19074094 </v>
      </c>
      <c r="N13" s="30"/>
    </row>
    <row r="14" spans="1:14" ht="60" x14ac:dyDescent="0.25">
      <c r="A14" s="19" t="s">
        <v>4113</v>
      </c>
      <c r="B14" s="17" t="s">
        <v>4112</v>
      </c>
      <c r="C14" s="20">
        <v>1</v>
      </c>
      <c r="D14" s="18">
        <v>198</v>
      </c>
      <c r="E14" s="20" t="s">
        <v>4111</v>
      </c>
      <c r="F14" s="17" t="s">
        <v>23</v>
      </c>
      <c r="G14" s="19"/>
      <c r="H14" s="18">
        <v>60</v>
      </c>
      <c r="I14" s="17" t="s">
        <v>148</v>
      </c>
      <c r="J14" s="17" t="s">
        <v>3216</v>
      </c>
      <c r="K14" s="17"/>
      <c r="L14" s="17"/>
      <c r="M14" s="16" t="str">
        <f>HYPERLINK("http://slimages.macys.com/is/image/MCY/18820422 ")</f>
        <v xml:space="preserve">http://slimages.macys.com/is/image/MCY/18820422 </v>
      </c>
      <c r="N14" s="30"/>
    </row>
    <row r="15" spans="1:14" ht="60" x14ac:dyDescent="0.25">
      <c r="A15" s="19" t="s">
        <v>4110</v>
      </c>
      <c r="B15" s="17" t="s">
        <v>4109</v>
      </c>
      <c r="C15" s="20">
        <v>1</v>
      </c>
      <c r="D15" s="18">
        <v>210</v>
      </c>
      <c r="E15" s="20" t="s">
        <v>2338</v>
      </c>
      <c r="F15" s="17" t="s">
        <v>1382</v>
      </c>
      <c r="G15" s="19" t="s">
        <v>954</v>
      </c>
      <c r="H15" s="18">
        <v>57.000000000000007</v>
      </c>
      <c r="I15" s="17" t="s">
        <v>133</v>
      </c>
      <c r="J15" s="17" t="s">
        <v>953</v>
      </c>
      <c r="K15" s="17"/>
      <c r="L15" s="17"/>
      <c r="M15" s="16" t="str">
        <f>HYPERLINK("http://slimages.macys.com/is/image/MCY/19448682 ")</f>
        <v xml:space="preserve">http://slimages.macys.com/is/image/MCY/19448682 </v>
      </c>
      <c r="N15" s="30"/>
    </row>
    <row r="16" spans="1:14" ht="60" x14ac:dyDescent="0.25">
      <c r="A16" s="19" t="s">
        <v>4108</v>
      </c>
      <c r="B16" s="17" t="s">
        <v>4107</v>
      </c>
      <c r="C16" s="20">
        <v>1</v>
      </c>
      <c r="D16" s="18">
        <v>198</v>
      </c>
      <c r="E16" s="20" t="s">
        <v>4106</v>
      </c>
      <c r="F16" s="17" t="s">
        <v>164</v>
      </c>
      <c r="G16" s="19" t="s">
        <v>57</v>
      </c>
      <c r="H16" s="18">
        <v>55.533333333333339</v>
      </c>
      <c r="I16" s="17" t="s">
        <v>153</v>
      </c>
      <c r="J16" s="17" t="s">
        <v>153</v>
      </c>
      <c r="K16" s="17" t="s">
        <v>4105</v>
      </c>
      <c r="L16" s="17" t="s">
        <v>4104</v>
      </c>
      <c r="M16" s="16" t="str">
        <f>HYPERLINK("http://slimages.macys.com/is/image/MCY/14603345 ")</f>
        <v xml:space="preserve">http://slimages.macys.com/is/image/MCY/14603345 </v>
      </c>
      <c r="N16" s="30"/>
    </row>
    <row r="17" spans="1:14" ht="60" x14ac:dyDescent="0.25">
      <c r="A17" s="19" t="s">
        <v>3061</v>
      </c>
      <c r="B17" s="17" t="s">
        <v>3060</v>
      </c>
      <c r="C17" s="20">
        <v>1</v>
      </c>
      <c r="D17" s="18">
        <v>178</v>
      </c>
      <c r="E17" s="20" t="s">
        <v>3059</v>
      </c>
      <c r="F17" s="17" t="s">
        <v>51</v>
      </c>
      <c r="G17" s="19" t="s">
        <v>757</v>
      </c>
      <c r="H17" s="18">
        <v>51.04</v>
      </c>
      <c r="I17" s="17" t="s">
        <v>756</v>
      </c>
      <c r="J17" s="17" t="s">
        <v>153</v>
      </c>
      <c r="K17" s="17"/>
      <c r="L17" s="17"/>
      <c r="M17" s="16" t="str">
        <f>HYPERLINK("http://slimages.macys.com/is/image/MCY/18662390 ")</f>
        <v xml:space="preserve">http://slimages.macys.com/is/image/MCY/18662390 </v>
      </c>
      <c r="N17" s="30"/>
    </row>
    <row r="18" spans="1:14" ht="60" x14ac:dyDescent="0.25">
      <c r="A18" s="19" t="s">
        <v>4103</v>
      </c>
      <c r="B18" s="17" t="s">
        <v>4102</v>
      </c>
      <c r="C18" s="20">
        <v>1</v>
      </c>
      <c r="D18" s="18">
        <v>160</v>
      </c>
      <c r="E18" s="20" t="s">
        <v>4101</v>
      </c>
      <c r="F18" s="17" t="s">
        <v>75</v>
      </c>
      <c r="G18" s="19" t="s">
        <v>898</v>
      </c>
      <c r="H18" s="18">
        <v>48.666666666666664</v>
      </c>
      <c r="I18" s="17" t="s">
        <v>481</v>
      </c>
      <c r="J18" s="17" t="s">
        <v>1500</v>
      </c>
      <c r="K18" s="17"/>
      <c r="L18" s="17"/>
      <c r="M18" s="16" t="str">
        <f>HYPERLINK("http://slimages.macys.com/is/image/MCY/18683261 ")</f>
        <v xml:space="preserve">http://slimages.macys.com/is/image/MCY/18683261 </v>
      </c>
      <c r="N18" s="30"/>
    </row>
    <row r="19" spans="1:14" ht="60" x14ac:dyDescent="0.25">
      <c r="A19" s="19" t="s">
        <v>4100</v>
      </c>
      <c r="B19" s="17" t="s">
        <v>4099</v>
      </c>
      <c r="C19" s="20">
        <v>1</v>
      </c>
      <c r="D19" s="18">
        <v>160</v>
      </c>
      <c r="E19" s="20" t="s">
        <v>4098</v>
      </c>
      <c r="F19" s="17" t="s">
        <v>413</v>
      </c>
      <c r="G19" s="19" t="s">
        <v>898</v>
      </c>
      <c r="H19" s="18">
        <v>48.666666666666664</v>
      </c>
      <c r="I19" s="17" t="s">
        <v>481</v>
      </c>
      <c r="J19" s="17" t="s">
        <v>1500</v>
      </c>
      <c r="K19" s="17"/>
      <c r="L19" s="17"/>
      <c r="M19" s="16" t="str">
        <f>HYPERLINK("http://slimages.macys.com/is/image/MCY/18851921 ")</f>
        <v xml:space="preserve">http://slimages.macys.com/is/image/MCY/18851921 </v>
      </c>
      <c r="N19" s="30"/>
    </row>
    <row r="20" spans="1:14" ht="72" x14ac:dyDescent="0.25">
      <c r="A20" s="19" t="s">
        <v>4097</v>
      </c>
      <c r="B20" s="17" t="s">
        <v>4096</v>
      </c>
      <c r="C20" s="20">
        <v>1</v>
      </c>
      <c r="D20" s="18">
        <v>179</v>
      </c>
      <c r="E20" s="20" t="s">
        <v>4095</v>
      </c>
      <c r="F20" s="17" t="s">
        <v>28</v>
      </c>
      <c r="G20" s="19"/>
      <c r="H20" s="18">
        <v>48</v>
      </c>
      <c r="I20" s="17" t="s">
        <v>148</v>
      </c>
      <c r="J20" s="17" t="s">
        <v>147</v>
      </c>
      <c r="K20" s="17" t="s">
        <v>771</v>
      </c>
      <c r="L20" s="17" t="s">
        <v>4094</v>
      </c>
      <c r="M20" s="16" t="str">
        <f>HYPERLINK("http://images.bloomingdales.com/is/image/BLM/9175117 ")</f>
        <v xml:space="preserve">http://images.bloomingdales.com/is/image/BLM/9175117 </v>
      </c>
      <c r="N20" s="30"/>
    </row>
    <row r="21" spans="1:14" ht="60" x14ac:dyDescent="0.25">
      <c r="A21" s="19" t="s">
        <v>4093</v>
      </c>
      <c r="B21" s="17" t="s">
        <v>4092</v>
      </c>
      <c r="C21" s="20">
        <v>5</v>
      </c>
      <c r="D21" s="18">
        <v>158</v>
      </c>
      <c r="E21" s="20" t="s">
        <v>2296</v>
      </c>
      <c r="F21" s="17" t="s">
        <v>562</v>
      </c>
      <c r="G21" s="19" t="s">
        <v>3053</v>
      </c>
      <c r="H21" s="18">
        <v>45.24</v>
      </c>
      <c r="I21" s="17" t="s">
        <v>756</v>
      </c>
      <c r="J21" s="17" t="s">
        <v>153</v>
      </c>
      <c r="K21" s="17"/>
      <c r="L21" s="17"/>
      <c r="M21" s="16" t="str">
        <f>HYPERLINK("http://slimages.macys.com/is/image/MCY/20102885 ")</f>
        <v xml:space="preserve">http://slimages.macys.com/is/image/MCY/20102885 </v>
      </c>
      <c r="N21" s="30"/>
    </row>
    <row r="22" spans="1:14" ht="60" x14ac:dyDescent="0.25">
      <c r="A22" s="19" t="s">
        <v>4091</v>
      </c>
      <c r="B22" s="17" t="s">
        <v>4090</v>
      </c>
      <c r="C22" s="20">
        <v>1</v>
      </c>
      <c r="D22" s="18">
        <v>168</v>
      </c>
      <c r="E22" s="20" t="s">
        <v>4089</v>
      </c>
      <c r="F22" s="17" t="s">
        <v>28</v>
      </c>
      <c r="G22" s="19" t="s">
        <v>419</v>
      </c>
      <c r="H22" s="18">
        <v>43.06666666666667</v>
      </c>
      <c r="I22" s="17" t="s">
        <v>148</v>
      </c>
      <c r="J22" s="17" t="s">
        <v>147</v>
      </c>
      <c r="K22" s="17"/>
      <c r="L22" s="17"/>
      <c r="M22" s="16" t="str">
        <f>HYPERLINK("http://slimages.macys.com/is/image/MCY/18615783 ")</f>
        <v xml:space="preserve">http://slimages.macys.com/is/image/MCY/18615783 </v>
      </c>
      <c r="N22" s="30"/>
    </row>
    <row r="23" spans="1:14" ht="60" x14ac:dyDescent="0.25">
      <c r="A23" s="19" t="s">
        <v>2287</v>
      </c>
      <c r="B23" s="17" t="s">
        <v>2286</v>
      </c>
      <c r="C23" s="20">
        <v>1</v>
      </c>
      <c r="D23" s="18">
        <v>155</v>
      </c>
      <c r="E23" s="20" t="s">
        <v>2285</v>
      </c>
      <c r="F23" s="17" t="s">
        <v>2284</v>
      </c>
      <c r="G23" s="19" t="s">
        <v>2283</v>
      </c>
      <c r="H23" s="18">
        <v>41.333333333333336</v>
      </c>
      <c r="I23" s="17" t="s">
        <v>481</v>
      </c>
      <c r="J23" s="17" t="s">
        <v>2282</v>
      </c>
      <c r="K23" s="17"/>
      <c r="L23" s="17"/>
      <c r="M23" s="16" t="str">
        <f>HYPERLINK("http://slimages.macys.com/is/image/MCY/16947055 ")</f>
        <v xml:space="preserve">http://slimages.macys.com/is/image/MCY/16947055 </v>
      </c>
      <c r="N23" s="30"/>
    </row>
    <row r="24" spans="1:14" ht="60" x14ac:dyDescent="0.25">
      <c r="A24" s="19" t="s">
        <v>4088</v>
      </c>
      <c r="B24" s="17" t="s">
        <v>4087</v>
      </c>
      <c r="C24" s="20">
        <v>1</v>
      </c>
      <c r="D24" s="18">
        <v>130</v>
      </c>
      <c r="E24" s="20" t="s">
        <v>4086</v>
      </c>
      <c r="F24" s="17" t="s">
        <v>578</v>
      </c>
      <c r="G24" s="19" t="s">
        <v>857</v>
      </c>
      <c r="H24" s="18">
        <v>40</v>
      </c>
      <c r="I24" s="17" t="s">
        <v>481</v>
      </c>
      <c r="J24" s="17" t="s">
        <v>1500</v>
      </c>
      <c r="K24" s="17"/>
      <c r="L24" s="17"/>
      <c r="M24" s="16" t="str">
        <f>HYPERLINK("http://slimages.macys.com/is/image/MCY/19302390 ")</f>
        <v xml:space="preserve">http://slimages.macys.com/is/image/MCY/19302390 </v>
      </c>
      <c r="N24" s="30"/>
    </row>
    <row r="25" spans="1:14" ht="60" x14ac:dyDescent="0.25">
      <c r="A25" s="19" t="s">
        <v>4085</v>
      </c>
      <c r="B25" s="17" t="s">
        <v>4084</v>
      </c>
      <c r="C25" s="20">
        <v>1</v>
      </c>
      <c r="D25" s="18">
        <v>145</v>
      </c>
      <c r="E25" s="20" t="s">
        <v>1512</v>
      </c>
      <c r="F25" s="17" t="s">
        <v>1382</v>
      </c>
      <c r="G25" s="19" t="s">
        <v>74</v>
      </c>
      <c r="H25" s="18">
        <v>39.6</v>
      </c>
      <c r="I25" s="17" t="s">
        <v>133</v>
      </c>
      <c r="J25" s="17" t="s">
        <v>953</v>
      </c>
      <c r="K25" s="17"/>
      <c r="L25" s="17"/>
      <c r="M25" s="16" t="str">
        <f>HYPERLINK("http://slimages.macys.com/is/image/MCY/19449554 ")</f>
        <v xml:space="preserve">http://slimages.macys.com/is/image/MCY/19449554 </v>
      </c>
      <c r="N25" s="30"/>
    </row>
    <row r="26" spans="1:14" ht="60" x14ac:dyDescent="0.25">
      <c r="A26" s="19" t="s">
        <v>4083</v>
      </c>
      <c r="B26" s="17" t="s">
        <v>4082</v>
      </c>
      <c r="C26" s="20">
        <v>1</v>
      </c>
      <c r="D26" s="18">
        <v>138</v>
      </c>
      <c r="E26" s="20" t="s">
        <v>4081</v>
      </c>
      <c r="F26" s="17" t="s">
        <v>51</v>
      </c>
      <c r="G26" s="19" t="s">
        <v>757</v>
      </c>
      <c r="H26" s="18">
        <v>39.440000000000005</v>
      </c>
      <c r="I26" s="17" t="s">
        <v>756</v>
      </c>
      <c r="J26" s="17" t="s">
        <v>153</v>
      </c>
      <c r="K26" s="17"/>
      <c r="L26" s="17"/>
      <c r="M26" s="16" t="str">
        <f>HYPERLINK("http://slimages.macys.com/is/image/MCY/19191960 ")</f>
        <v xml:space="preserve">http://slimages.macys.com/is/image/MCY/19191960 </v>
      </c>
      <c r="N26" s="30"/>
    </row>
    <row r="27" spans="1:14" ht="60" x14ac:dyDescent="0.25">
      <c r="A27" s="19" t="s">
        <v>4080</v>
      </c>
      <c r="B27" s="17" t="s">
        <v>4079</v>
      </c>
      <c r="C27" s="20">
        <v>1</v>
      </c>
      <c r="D27" s="18">
        <v>128</v>
      </c>
      <c r="E27" s="20" t="s">
        <v>2270</v>
      </c>
      <c r="F27" s="17" t="s">
        <v>508</v>
      </c>
      <c r="G27" s="19"/>
      <c r="H27" s="18">
        <v>38.666666666666664</v>
      </c>
      <c r="I27" s="17" t="s">
        <v>148</v>
      </c>
      <c r="J27" s="17" t="s">
        <v>147</v>
      </c>
      <c r="K27" s="17" t="s">
        <v>771</v>
      </c>
      <c r="L27" s="17" t="s">
        <v>1724</v>
      </c>
      <c r="M27" s="16" t="str">
        <f>HYPERLINK("http://images.bloomingdales.com/is/image/BLM/11306993 ")</f>
        <v xml:space="preserve">http://images.bloomingdales.com/is/image/BLM/11306993 </v>
      </c>
      <c r="N27" s="30"/>
    </row>
    <row r="28" spans="1:14" ht="60" x14ac:dyDescent="0.25">
      <c r="A28" s="19" t="s">
        <v>4078</v>
      </c>
      <c r="B28" s="17" t="s">
        <v>4077</v>
      </c>
      <c r="C28" s="20">
        <v>1</v>
      </c>
      <c r="D28" s="18">
        <v>169</v>
      </c>
      <c r="E28" s="20" t="s">
        <v>4074</v>
      </c>
      <c r="F28" s="17" t="s">
        <v>555</v>
      </c>
      <c r="G28" s="19" t="s">
        <v>916</v>
      </c>
      <c r="H28" s="18">
        <v>36.666666666666671</v>
      </c>
      <c r="I28" s="17" t="s">
        <v>550</v>
      </c>
      <c r="J28" s="17" t="s">
        <v>1448</v>
      </c>
      <c r="K28" s="17" t="s">
        <v>389</v>
      </c>
      <c r="L28" s="17" t="s">
        <v>2600</v>
      </c>
      <c r="M28" s="16" t="str">
        <f>HYPERLINK("http://slimages.macys.com/is/image/MCY/16103004 ")</f>
        <v xml:space="preserve">http://slimages.macys.com/is/image/MCY/16103004 </v>
      </c>
      <c r="N28" s="30"/>
    </row>
    <row r="29" spans="1:14" ht="60" x14ac:dyDescent="0.25">
      <c r="A29" s="19" t="s">
        <v>4076</v>
      </c>
      <c r="B29" s="17" t="s">
        <v>4075</v>
      </c>
      <c r="C29" s="20">
        <v>1</v>
      </c>
      <c r="D29" s="18">
        <v>169</v>
      </c>
      <c r="E29" s="20" t="s">
        <v>4074</v>
      </c>
      <c r="F29" s="17" t="s">
        <v>555</v>
      </c>
      <c r="G29" s="19" t="s">
        <v>880</v>
      </c>
      <c r="H29" s="18">
        <v>36.666666666666671</v>
      </c>
      <c r="I29" s="17" t="s">
        <v>550</v>
      </c>
      <c r="J29" s="17" t="s">
        <v>1448</v>
      </c>
      <c r="K29" s="17" t="s">
        <v>389</v>
      </c>
      <c r="L29" s="17" t="s">
        <v>2600</v>
      </c>
      <c r="M29" s="16" t="str">
        <f>HYPERLINK("http://slimages.macys.com/is/image/MCY/16103004 ")</f>
        <v xml:space="preserve">http://slimages.macys.com/is/image/MCY/16103004 </v>
      </c>
      <c r="N29" s="30"/>
    </row>
    <row r="30" spans="1:14" ht="60" x14ac:dyDescent="0.25">
      <c r="A30" s="19" t="s">
        <v>4073</v>
      </c>
      <c r="B30" s="17" t="s">
        <v>4072</v>
      </c>
      <c r="C30" s="20">
        <v>1</v>
      </c>
      <c r="D30" s="18">
        <v>120</v>
      </c>
      <c r="E30" s="20" t="s">
        <v>4071</v>
      </c>
      <c r="F30" s="17"/>
      <c r="G30" s="19" t="s">
        <v>898</v>
      </c>
      <c r="H30" s="18">
        <v>36.666666666666671</v>
      </c>
      <c r="I30" s="17" t="s">
        <v>481</v>
      </c>
      <c r="J30" s="17" t="s">
        <v>1500</v>
      </c>
      <c r="K30" s="17"/>
      <c r="L30" s="17"/>
      <c r="M30" s="16" t="str">
        <f>HYPERLINK("http://slimages.macys.com/is/image/MCY/19009224 ")</f>
        <v xml:space="preserve">http://slimages.macys.com/is/image/MCY/19009224 </v>
      </c>
      <c r="N30" s="30"/>
    </row>
    <row r="31" spans="1:14" ht="60" x14ac:dyDescent="0.25">
      <c r="A31" s="19" t="s">
        <v>4070</v>
      </c>
      <c r="B31" s="17" t="s">
        <v>4069</v>
      </c>
      <c r="C31" s="20">
        <v>1</v>
      </c>
      <c r="D31" s="18">
        <v>148</v>
      </c>
      <c r="E31" s="20" t="s">
        <v>4068</v>
      </c>
      <c r="F31" s="17"/>
      <c r="G31" s="19" t="s">
        <v>57</v>
      </c>
      <c r="H31" s="18">
        <v>35.4</v>
      </c>
      <c r="I31" s="17" t="s">
        <v>133</v>
      </c>
      <c r="J31" s="17" t="s">
        <v>132</v>
      </c>
      <c r="K31" s="17" t="s">
        <v>637</v>
      </c>
      <c r="L31" s="17" t="s">
        <v>4067</v>
      </c>
      <c r="M31" s="16" t="str">
        <f>HYPERLINK("http://images.bloomingdales.com/is/image/BLM/11474927 ")</f>
        <v xml:space="preserve">http://images.bloomingdales.com/is/image/BLM/11474927 </v>
      </c>
      <c r="N31" s="30"/>
    </row>
    <row r="32" spans="1:14" ht="60" x14ac:dyDescent="0.25">
      <c r="A32" s="19" t="s">
        <v>4066</v>
      </c>
      <c r="B32" s="17" t="s">
        <v>4065</v>
      </c>
      <c r="C32" s="20">
        <v>1</v>
      </c>
      <c r="D32" s="18">
        <v>148</v>
      </c>
      <c r="E32" s="20" t="s">
        <v>4064</v>
      </c>
      <c r="F32" s="17" t="s">
        <v>1536</v>
      </c>
      <c r="G32" s="19" t="s">
        <v>682</v>
      </c>
      <c r="H32" s="18">
        <v>35.273333333333341</v>
      </c>
      <c r="I32" s="17" t="s">
        <v>133</v>
      </c>
      <c r="J32" s="17" t="s">
        <v>584</v>
      </c>
      <c r="K32" s="17"/>
      <c r="L32" s="17"/>
      <c r="M32" s="16" t="str">
        <f>HYPERLINK("http://slimages.macys.com/is/image/MCY/18742476 ")</f>
        <v xml:space="preserve">http://slimages.macys.com/is/image/MCY/18742476 </v>
      </c>
      <c r="N32" s="30"/>
    </row>
    <row r="33" spans="1:14" ht="60" x14ac:dyDescent="0.25">
      <c r="A33" s="19" t="s">
        <v>2243</v>
      </c>
      <c r="B33" s="17" t="s">
        <v>2242</v>
      </c>
      <c r="C33" s="20">
        <v>1</v>
      </c>
      <c r="D33" s="18">
        <v>138</v>
      </c>
      <c r="E33" s="20" t="s">
        <v>2239</v>
      </c>
      <c r="F33" s="17"/>
      <c r="G33" s="19" t="s">
        <v>62</v>
      </c>
      <c r="H33" s="18">
        <v>33</v>
      </c>
      <c r="I33" s="17" t="s">
        <v>133</v>
      </c>
      <c r="J33" s="17" t="s">
        <v>132</v>
      </c>
      <c r="K33" s="17" t="s">
        <v>637</v>
      </c>
      <c r="L33" s="17" t="s">
        <v>2238</v>
      </c>
      <c r="M33" s="16" t="str">
        <f>HYPERLINK("http://images.bloomingdales.com/is/image/BLM/11402583 ")</f>
        <v xml:space="preserve">http://images.bloomingdales.com/is/image/BLM/11402583 </v>
      </c>
      <c r="N33" s="30"/>
    </row>
    <row r="34" spans="1:14" ht="60" x14ac:dyDescent="0.25">
      <c r="A34" s="19" t="s">
        <v>4063</v>
      </c>
      <c r="B34" s="17" t="s">
        <v>4062</v>
      </c>
      <c r="C34" s="20">
        <v>1</v>
      </c>
      <c r="D34" s="18">
        <v>148</v>
      </c>
      <c r="E34" s="20" t="s">
        <v>4061</v>
      </c>
      <c r="F34" s="17" t="s">
        <v>63</v>
      </c>
      <c r="G34" s="19" t="s">
        <v>682</v>
      </c>
      <c r="H34" s="18">
        <v>32.660000000000004</v>
      </c>
      <c r="I34" s="17" t="s">
        <v>49</v>
      </c>
      <c r="J34" s="17" t="s">
        <v>48</v>
      </c>
      <c r="K34" s="17"/>
      <c r="L34" s="17"/>
      <c r="M34" s="16" t="str">
        <f>HYPERLINK("http://slimages.macys.com/is/image/MCY/19358879 ")</f>
        <v xml:space="preserve">http://slimages.macys.com/is/image/MCY/19358879 </v>
      </c>
      <c r="N34" s="30"/>
    </row>
    <row r="35" spans="1:14" ht="84" x14ac:dyDescent="0.25">
      <c r="A35" s="19" t="s">
        <v>4060</v>
      </c>
      <c r="B35" s="17" t="s">
        <v>4059</v>
      </c>
      <c r="C35" s="20">
        <v>1</v>
      </c>
      <c r="D35" s="18">
        <v>140</v>
      </c>
      <c r="E35" s="20" t="s">
        <v>4058</v>
      </c>
      <c r="F35" s="17" t="s">
        <v>51</v>
      </c>
      <c r="G35" s="19" t="s">
        <v>197</v>
      </c>
      <c r="H35" s="18">
        <v>30.8</v>
      </c>
      <c r="I35" s="17" t="s">
        <v>158</v>
      </c>
      <c r="J35" s="17" t="s">
        <v>3005</v>
      </c>
      <c r="K35" s="17" t="s">
        <v>4057</v>
      </c>
      <c r="L35" s="17" t="s">
        <v>4056</v>
      </c>
      <c r="M35" s="16" t="str">
        <f>HYPERLINK("http://images.bloomingdales.com/is/image/BLM/11376535 ")</f>
        <v xml:space="preserve">http://images.bloomingdales.com/is/image/BLM/11376535 </v>
      </c>
      <c r="N35" s="30"/>
    </row>
    <row r="36" spans="1:14" ht="60" x14ac:dyDescent="0.25">
      <c r="A36" s="19" t="s">
        <v>4055</v>
      </c>
      <c r="B36" s="17" t="s">
        <v>4054</v>
      </c>
      <c r="C36" s="20">
        <v>1</v>
      </c>
      <c r="D36" s="18">
        <v>99</v>
      </c>
      <c r="E36" s="20" t="s">
        <v>4053</v>
      </c>
      <c r="F36" s="17" t="s">
        <v>149</v>
      </c>
      <c r="G36" s="19" t="s">
        <v>773</v>
      </c>
      <c r="H36" s="18">
        <v>30</v>
      </c>
      <c r="I36" s="17" t="s">
        <v>148</v>
      </c>
      <c r="J36" s="17" t="s">
        <v>772</v>
      </c>
      <c r="K36" s="17"/>
      <c r="L36" s="17"/>
      <c r="M36" s="16" t="str">
        <f>HYPERLINK("http://slimages.macys.com/is/image/MCY/19324016 ")</f>
        <v xml:space="preserve">http://slimages.macys.com/is/image/MCY/19324016 </v>
      </c>
      <c r="N36" s="30"/>
    </row>
    <row r="37" spans="1:14" ht="72" x14ac:dyDescent="0.25">
      <c r="A37" s="19" t="s">
        <v>4052</v>
      </c>
      <c r="B37" s="17" t="s">
        <v>4051</v>
      </c>
      <c r="C37" s="20">
        <v>2</v>
      </c>
      <c r="D37" s="18">
        <v>99</v>
      </c>
      <c r="E37" s="20" t="s">
        <v>774</v>
      </c>
      <c r="F37" s="17" t="s">
        <v>58</v>
      </c>
      <c r="G37" s="19" t="s">
        <v>116</v>
      </c>
      <c r="H37" s="18">
        <v>30</v>
      </c>
      <c r="I37" s="17" t="s">
        <v>148</v>
      </c>
      <c r="J37" s="17" t="s">
        <v>772</v>
      </c>
      <c r="K37" s="17" t="s">
        <v>771</v>
      </c>
      <c r="L37" s="17" t="s">
        <v>770</v>
      </c>
      <c r="M37" s="16" t="str">
        <f>HYPERLINK("http://images.bloomingdales.com/is/image/BLM/11387933 ")</f>
        <v xml:space="preserve">http://images.bloomingdales.com/is/image/BLM/11387933 </v>
      </c>
      <c r="N37" s="30"/>
    </row>
    <row r="38" spans="1:14" ht="60" x14ac:dyDescent="0.25">
      <c r="A38" s="19" t="s">
        <v>4050</v>
      </c>
      <c r="B38" s="17" t="s">
        <v>4049</v>
      </c>
      <c r="C38" s="20">
        <v>1</v>
      </c>
      <c r="D38" s="18">
        <v>110</v>
      </c>
      <c r="E38" s="20">
        <v>1008</v>
      </c>
      <c r="F38" s="17" t="s">
        <v>149</v>
      </c>
      <c r="G38" s="19" t="s">
        <v>197</v>
      </c>
      <c r="H38" s="18">
        <v>29.333333333333336</v>
      </c>
      <c r="I38" s="17" t="s">
        <v>133</v>
      </c>
      <c r="J38" s="17" t="s">
        <v>1480</v>
      </c>
      <c r="K38" s="17"/>
      <c r="L38" s="17"/>
      <c r="M38" s="16" t="str">
        <f>HYPERLINK("http://slimages.macys.com/is/image/MCY/19008868 ")</f>
        <v xml:space="preserve">http://slimages.macys.com/is/image/MCY/19008868 </v>
      </c>
      <c r="N38" s="30"/>
    </row>
    <row r="39" spans="1:14" ht="60" x14ac:dyDescent="0.25">
      <c r="A39" s="19" t="s">
        <v>4048</v>
      </c>
      <c r="B39" s="17" t="s">
        <v>4047</v>
      </c>
      <c r="C39" s="20">
        <v>1</v>
      </c>
      <c r="D39" s="18">
        <v>128</v>
      </c>
      <c r="E39" s="20" t="s">
        <v>2205</v>
      </c>
      <c r="F39" s="17" t="s">
        <v>140</v>
      </c>
      <c r="G39" s="19" t="s">
        <v>17</v>
      </c>
      <c r="H39" s="18">
        <v>28.673333333333336</v>
      </c>
      <c r="I39" s="17" t="s">
        <v>49</v>
      </c>
      <c r="J39" s="17" t="s">
        <v>48</v>
      </c>
      <c r="K39" s="17"/>
      <c r="L39" s="17"/>
      <c r="M39" s="16" t="str">
        <f>HYPERLINK("http://slimages.macys.com/is/image/MCY/19738222 ")</f>
        <v xml:space="preserve">http://slimages.macys.com/is/image/MCY/19738222 </v>
      </c>
      <c r="N39" s="30"/>
    </row>
    <row r="40" spans="1:14" ht="60" x14ac:dyDescent="0.25">
      <c r="A40" s="19" t="s">
        <v>767</v>
      </c>
      <c r="B40" s="17" t="s">
        <v>766</v>
      </c>
      <c r="C40" s="20">
        <v>2</v>
      </c>
      <c r="D40" s="18">
        <v>128</v>
      </c>
      <c r="E40" s="20" t="s">
        <v>765</v>
      </c>
      <c r="F40" s="17" t="s">
        <v>764</v>
      </c>
      <c r="G40" s="19"/>
      <c r="H40" s="18">
        <v>28.24666666666667</v>
      </c>
      <c r="I40" s="17" t="s">
        <v>49</v>
      </c>
      <c r="J40" s="17" t="s">
        <v>48</v>
      </c>
      <c r="K40" s="17"/>
      <c r="L40" s="17"/>
      <c r="M40" s="16" t="str">
        <f>HYPERLINK("http://slimages.macys.com/is/image/MCY/19564938 ")</f>
        <v xml:space="preserve">http://slimages.macys.com/is/image/MCY/19564938 </v>
      </c>
      <c r="N40" s="30"/>
    </row>
    <row r="41" spans="1:14" ht="60" x14ac:dyDescent="0.25">
      <c r="A41" s="19" t="s">
        <v>4046</v>
      </c>
      <c r="B41" s="17" t="s">
        <v>4045</v>
      </c>
      <c r="C41" s="20">
        <v>1</v>
      </c>
      <c r="D41" s="18">
        <v>128</v>
      </c>
      <c r="E41" s="20" t="s">
        <v>761</v>
      </c>
      <c r="F41" s="17" t="s">
        <v>216</v>
      </c>
      <c r="G41" s="19" t="s">
        <v>22</v>
      </c>
      <c r="H41" s="18">
        <v>28.24666666666667</v>
      </c>
      <c r="I41" s="17" t="s">
        <v>49</v>
      </c>
      <c r="J41" s="17" t="s">
        <v>48</v>
      </c>
      <c r="K41" s="17"/>
      <c r="L41" s="17"/>
      <c r="M41" s="16" t="str">
        <f>HYPERLINK("http://slimages.macys.com/is/image/MCY/19357129 ")</f>
        <v xml:space="preserve">http://slimages.macys.com/is/image/MCY/19357129 </v>
      </c>
      <c r="N41" s="30"/>
    </row>
    <row r="42" spans="1:14" ht="60" x14ac:dyDescent="0.25">
      <c r="A42" s="19" t="s">
        <v>4044</v>
      </c>
      <c r="B42" s="17" t="s">
        <v>4043</v>
      </c>
      <c r="C42" s="20">
        <v>1</v>
      </c>
      <c r="D42" s="18">
        <v>128</v>
      </c>
      <c r="E42" s="20" t="s">
        <v>4042</v>
      </c>
      <c r="F42" s="17" t="s">
        <v>23</v>
      </c>
      <c r="G42" s="19" t="s">
        <v>62</v>
      </c>
      <c r="H42" s="18">
        <v>28.14</v>
      </c>
      <c r="I42" s="17" t="s">
        <v>153</v>
      </c>
      <c r="J42" s="17" t="s">
        <v>153</v>
      </c>
      <c r="K42" s="17"/>
      <c r="L42" s="17"/>
      <c r="M42" s="16" t="str">
        <f>HYPERLINK("http://slimages.macys.com/is/image/MCY/19010817 ")</f>
        <v xml:space="preserve">http://slimages.macys.com/is/image/MCY/19010817 </v>
      </c>
      <c r="N42" s="30"/>
    </row>
    <row r="43" spans="1:14" ht="60" x14ac:dyDescent="0.25">
      <c r="A43" s="19" t="s">
        <v>4041</v>
      </c>
      <c r="B43" s="17" t="s">
        <v>4040</v>
      </c>
      <c r="C43" s="20">
        <v>1</v>
      </c>
      <c r="D43" s="18">
        <v>149</v>
      </c>
      <c r="E43" s="20" t="s">
        <v>2187</v>
      </c>
      <c r="F43" s="17" t="s">
        <v>58</v>
      </c>
      <c r="G43" s="19" t="s">
        <v>682</v>
      </c>
      <c r="H43" s="18">
        <v>27.813333333333333</v>
      </c>
      <c r="I43" s="17" t="s">
        <v>820</v>
      </c>
      <c r="J43" s="17" t="s">
        <v>67</v>
      </c>
      <c r="K43" s="17"/>
      <c r="L43" s="17"/>
      <c r="M43" s="16" t="str">
        <f>HYPERLINK("http://slimages.macys.com/is/image/MCY/19909553 ")</f>
        <v xml:space="preserve">http://slimages.macys.com/is/image/MCY/19909553 </v>
      </c>
      <c r="N43" s="30"/>
    </row>
    <row r="44" spans="1:14" ht="60" x14ac:dyDescent="0.25">
      <c r="A44" s="19" t="s">
        <v>2186</v>
      </c>
      <c r="B44" s="17" t="s">
        <v>2185</v>
      </c>
      <c r="C44" s="20">
        <v>1</v>
      </c>
      <c r="D44" s="18">
        <v>138</v>
      </c>
      <c r="E44" s="20" t="s">
        <v>2184</v>
      </c>
      <c r="F44" s="17" t="s">
        <v>28</v>
      </c>
      <c r="G44" s="19" t="s">
        <v>857</v>
      </c>
      <c r="H44" s="18">
        <v>27.599999999999998</v>
      </c>
      <c r="I44" s="17" t="s">
        <v>115</v>
      </c>
      <c r="J44" s="17" t="s">
        <v>748</v>
      </c>
      <c r="K44" s="17"/>
      <c r="L44" s="17"/>
      <c r="M44" s="16" t="str">
        <f>HYPERLINK("http://slimages.macys.com/is/image/MCY/19070598 ")</f>
        <v xml:space="preserve">http://slimages.macys.com/is/image/MCY/19070598 </v>
      </c>
      <c r="N44" s="30"/>
    </row>
    <row r="45" spans="1:14" ht="60" x14ac:dyDescent="0.25">
      <c r="A45" s="19" t="s">
        <v>4039</v>
      </c>
      <c r="B45" s="17" t="s">
        <v>4038</v>
      </c>
      <c r="C45" s="20">
        <v>1</v>
      </c>
      <c r="D45" s="18">
        <v>138</v>
      </c>
      <c r="E45" s="20" t="s">
        <v>2184</v>
      </c>
      <c r="F45" s="17" t="s">
        <v>28</v>
      </c>
      <c r="G45" s="19" t="s">
        <v>698</v>
      </c>
      <c r="H45" s="18">
        <v>27.599999999999998</v>
      </c>
      <c r="I45" s="17" t="s">
        <v>115</v>
      </c>
      <c r="J45" s="17" t="s">
        <v>748</v>
      </c>
      <c r="K45" s="17"/>
      <c r="L45" s="17"/>
      <c r="M45" s="16" t="str">
        <f>HYPERLINK("http://slimages.macys.com/is/image/MCY/19070598 ")</f>
        <v xml:space="preserve">http://slimages.macys.com/is/image/MCY/19070598 </v>
      </c>
      <c r="N45" s="30"/>
    </row>
    <row r="46" spans="1:14" ht="60" x14ac:dyDescent="0.25">
      <c r="A46" s="19" t="s">
        <v>4037</v>
      </c>
      <c r="B46" s="17" t="s">
        <v>4036</v>
      </c>
      <c r="C46" s="20">
        <v>1</v>
      </c>
      <c r="D46" s="18">
        <v>128</v>
      </c>
      <c r="E46" s="20" t="s">
        <v>4035</v>
      </c>
      <c r="F46" s="17" t="s">
        <v>1526</v>
      </c>
      <c r="G46" s="19" t="s">
        <v>62</v>
      </c>
      <c r="H46" s="18">
        <v>27.306666666666668</v>
      </c>
      <c r="I46" s="17" t="s">
        <v>49</v>
      </c>
      <c r="J46" s="17" t="s">
        <v>48</v>
      </c>
      <c r="K46" s="17"/>
      <c r="L46" s="17"/>
      <c r="M46" s="16" t="str">
        <f>HYPERLINK("http://slimages.macys.com/is/image/MCY/17968401 ")</f>
        <v xml:space="preserve">http://slimages.macys.com/is/image/MCY/17968401 </v>
      </c>
      <c r="N46" s="30"/>
    </row>
    <row r="47" spans="1:14" ht="60" x14ac:dyDescent="0.25">
      <c r="A47" s="19" t="s">
        <v>4034</v>
      </c>
      <c r="B47" s="17" t="s">
        <v>4033</v>
      </c>
      <c r="C47" s="20">
        <v>2</v>
      </c>
      <c r="D47" s="18">
        <v>96.75</v>
      </c>
      <c r="E47" s="20">
        <v>10770634</v>
      </c>
      <c r="F47" s="17" t="s">
        <v>23</v>
      </c>
      <c r="G47" s="19" t="s">
        <v>271</v>
      </c>
      <c r="H47" s="18">
        <v>27.093333333333334</v>
      </c>
      <c r="I47" s="17" t="s">
        <v>358</v>
      </c>
      <c r="J47" s="17" t="s">
        <v>143</v>
      </c>
      <c r="K47" s="17"/>
      <c r="L47" s="17"/>
      <c r="M47" s="16" t="str">
        <f>HYPERLINK("http://slimages.macys.com/is/image/MCY/19096777 ")</f>
        <v xml:space="preserve">http://slimages.macys.com/is/image/MCY/19096777 </v>
      </c>
      <c r="N47" s="30"/>
    </row>
    <row r="48" spans="1:14" ht="60" x14ac:dyDescent="0.25">
      <c r="A48" s="19" t="s">
        <v>4032</v>
      </c>
      <c r="B48" s="17" t="s">
        <v>4031</v>
      </c>
      <c r="C48" s="20">
        <v>1</v>
      </c>
      <c r="D48" s="18">
        <v>96.75</v>
      </c>
      <c r="E48" s="20">
        <v>10758370</v>
      </c>
      <c r="F48" s="17" t="s">
        <v>23</v>
      </c>
      <c r="G48" s="19" t="s">
        <v>1191</v>
      </c>
      <c r="H48" s="18">
        <v>27.093333333333334</v>
      </c>
      <c r="I48" s="17" t="s">
        <v>358</v>
      </c>
      <c r="J48" s="17" t="s">
        <v>143</v>
      </c>
      <c r="K48" s="17"/>
      <c r="L48" s="17"/>
      <c r="M48" s="16" t="str">
        <f>HYPERLINK("http://slimages.macys.com/is/image/MCY/16862623 ")</f>
        <v xml:space="preserve">http://slimages.macys.com/is/image/MCY/16862623 </v>
      </c>
      <c r="N48" s="30"/>
    </row>
    <row r="49" spans="1:14" ht="60" x14ac:dyDescent="0.25">
      <c r="A49" s="19" t="s">
        <v>4030</v>
      </c>
      <c r="B49" s="17" t="s">
        <v>4029</v>
      </c>
      <c r="C49" s="20">
        <v>1</v>
      </c>
      <c r="D49" s="18">
        <v>128</v>
      </c>
      <c r="E49" s="20" t="s">
        <v>4028</v>
      </c>
      <c r="F49" s="17" t="s">
        <v>149</v>
      </c>
      <c r="G49" s="19" t="s">
        <v>857</v>
      </c>
      <c r="H49" s="18">
        <v>26.64</v>
      </c>
      <c r="I49" s="17" t="s">
        <v>115</v>
      </c>
      <c r="J49" s="17" t="s">
        <v>742</v>
      </c>
      <c r="K49" s="17"/>
      <c r="L49" s="17"/>
      <c r="M49" s="16" t="str">
        <f>HYPERLINK("http://slimages.macys.com/is/image/MCY/18577616 ")</f>
        <v xml:space="preserve">http://slimages.macys.com/is/image/MCY/18577616 </v>
      </c>
      <c r="N49" s="30"/>
    </row>
    <row r="50" spans="1:14" ht="72" x14ac:dyDescent="0.25">
      <c r="A50" s="19" t="s">
        <v>4027</v>
      </c>
      <c r="B50" s="17" t="s">
        <v>4026</v>
      </c>
      <c r="C50" s="20">
        <v>1</v>
      </c>
      <c r="D50" s="18">
        <v>109</v>
      </c>
      <c r="E50" s="20" t="s">
        <v>4025</v>
      </c>
      <c r="F50" s="17" t="s">
        <v>51</v>
      </c>
      <c r="G50" s="19" t="s">
        <v>698</v>
      </c>
      <c r="H50" s="18">
        <v>26.6</v>
      </c>
      <c r="I50" s="17" t="s">
        <v>1363</v>
      </c>
      <c r="J50" s="17" t="s">
        <v>1362</v>
      </c>
      <c r="K50" s="17" t="s">
        <v>389</v>
      </c>
      <c r="L50" s="17" t="s">
        <v>4024</v>
      </c>
      <c r="M50" s="16" t="str">
        <f>HYPERLINK("http://slimages.macys.com/is/image/MCY/12790861 ")</f>
        <v xml:space="preserve">http://slimages.macys.com/is/image/MCY/12790861 </v>
      </c>
      <c r="N50" s="30"/>
    </row>
    <row r="51" spans="1:14" ht="60" x14ac:dyDescent="0.25">
      <c r="A51" s="19" t="s">
        <v>741</v>
      </c>
      <c r="B51" s="17" t="s">
        <v>740</v>
      </c>
      <c r="C51" s="20">
        <v>1</v>
      </c>
      <c r="D51" s="18">
        <v>104.25</v>
      </c>
      <c r="E51" s="20" t="s">
        <v>739</v>
      </c>
      <c r="F51" s="17" t="s">
        <v>272</v>
      </c>
      <c r="G51" s="19" t="s">
        <v>738</v>
      </c>
      <c r="H51" s="18">
        <v>26.233333333333334</v>
      </c>
      <c r="I51" s="17" t="s">
        <v>33</v>
      </c>
      <c r="J51" s="17" t="s">
        <v>32</v>
      </c>
      <c r="K51" s="17"/>
      <c r="L51" s="17"/>
      <c r="M51" s="16" t="str">
        <f>HYPERLINK("http://slimages.macys.com/is/image/MCY/19722944 ")</f>
        <v xml:space="preserve">http://slimages.macys.com/is/image/MCY/19722944 </v>
      </c>
      <c r="N51" s="30"/>
    </row>
    <row r="52" spans="1:14" ht="60" x14ac:dyDescent="0.25">
      <c r="A52" s="19" t="s">
        <v>4023</v>
      </c>
      <c r="B52" s="17" t="s">
        <v>4022</v>
      </c>
      <c r="C52" s="20">
        <v>1</v>
      </c>
      <c r="D52" s="18">
        <v>104.25</v>
      </c>
      <c r="E52" s="20" t="s">
        <v>739</v>
      </c>
      <c r="F52" s="17" t="s">
        <v>272</v>
      </c>
      <c r="G52" s="19" t="s">
        <v>4021</v>
      </c>
      <c r="H52" s="18">
        <v>26.233333333333334</v>
      </c>
      <c r="I52" s="17" t="s">
        <v>33</v>
      </c>
      <c r="J52" s="17" t="s">
        <v>32</v>
      </c>
      <c r="K52" s="17"/>
      <c r="L52" s="17"/>
      <c r="M52" s="16" t="str">
        <f>HYPERLINK("http://slimages.macys.com/is/image/MCY/19722944 ")</f>
        <v xml:space="preserve">http://slimages.macys.com/is/image/MCY/19722944 </v>
      </c>
      <c r="N52" s="30"/>
    </row>
    <row r="53" spans="1:14" ht="60" x14ac:dyDescent="0.25">
      <c r="A53" s="19" t="s">
        <v>2961</v>
      </c>
      <c r="B53" s="17" t="s">
        <v>2960</v>
      </c>
      <c r="C53" s="20">
        <v>3</v>
      </c>
      <c r="D53" s="18">
        <v>104.25</v>
      </c>
      <c r="E53" s="20" t="s">
        <v>739</v>
      </c>
      <c r="F53" s="17" t="s">
        <v>272</v>
      </c>
      <c r="G53" s="19" t="s">
        <v>1155</v>
      </c>
      <c r="H53" s="18">
        <v>26.233333333333334</v>
      </c>
      <c r="I53" s="17" t="s">
        <v>33</v>
      </c>
      <c r="J53" s="17" t="s">
        <v>32</v>
      </c>
      <c r="K53" s="17"/>
      <c r="L53" s="17"/>
      <c r="M53" s="16" t="str">
        <f>HYPERLINK("http://slimages.macys.com/is/image/MCY/19722944 ")</f>
        <v xml:space="preserve">http://slimages.macys.com/is/image/MCY/19722944 </v>
      </c>
      <c r="N53" s="30"/>
    </row>
    <row r="54" spans="1:14" ht="60" x14ac:dyDescent="0.25">
      <c r="A54" s="19" t="s">
        <v>4020</v>
      </c>
      <c r="B54" s="17" t="s">
        <v>4019</v>
      </c>
      <c r="C54" s="20">
        <v>1</v>
      </c>
      <c r="D54" s="18">
        <v>104.25</v>
      </c>
      <c r="E54" s="20" t="s">
        <v>739</v>
      </c>
      <c r="F54" s="17" t="s">
        <v>272</v>
      </c>
      <c r="G54" s="19" t="s">
        <v>644</v>
      </c>
      <c r="H54" s="18">
        <v>26.233333333333334</v>
      </c>
      <c r="I54" s="17" t="s">
        <v>33</v>
      </c>
      <c r="J54" s="17" t="s">
        <v>32</v>
      </c>
      <c r="K54" s="17"/>
      <c r="L54" s="17"/>
      <c r="M54" s="16" t="str">
        <f>HYPERLINK("http://slimages.macys.com/is/image/MCY/19722944 ")</f>
        <v xml:space="preserve">http://slimages.macys.com/is/image/MCY/19722944 </v>
      </c>
      <c r="N54" s="30"/>
    </row>
    <row r="55" spans="1:14" ht="60" x14ac:dyDescent="0.25">
      <c r="A55" s="19" t="s">
        <v>4018</v>
      </c>
      <c r="B55" s="17" t="s">
        <v>4017</v>
      </c>
      <c r="C55" s="20">
        <v>1</v>
      </c>
      <c r="D55" s="18">
        <v>118</v>
      </c>
      <c r="E55" s="20" t="s">
        <v>4016</v>
      </c>
      <c r="F55" s="17" t="s">
        <v>390</v>
      </c>
      <c r="G55" s="19" t="s">
        <v>17</v>
      </c>
      <c r="H55" s="18">
        <v>26.040000000000003</v>
      </c>
      <c r="I55" s="17" t="s">
        <v>49</v>
      </c>
      <c r="J55" s="17" t="s">
        <v>48</v>
      </c>
      <c r="K55" s="17"/>
      <c r="L55" s="17"/>
      <c r="M55" s="16" t="str">
        <f>HYPERLINK("http://slimages.macys.com/is/image/MCY/18901832 ")</f>
        <v xml:space="preserve">http://slimages.macys.com/is/image/MCY/18901832 </v>
      </c>
      <c r="N55" s="30"/>
    </row>
    <row r="56" spans="1:14" ht="60" x14ac:dyDescent="0.25">
      <c r="A56" s="19" t="s">
        <v>4015</v>
      </c>
      <c r="B56" s="17" t="s">
        <v>4014</v>
      </c>
      <c r="C56" s="20">
        <v>1</v>
      </c>
      <c r="D56" s="18">
        <v>118</v>
      </c>
      <c r="E56" s="20" t="s">
        <v>731</v>
      </c>
      <c r="F56" s="17"/>
      <c r="G56" s="19"/>
      <c r="H56" s="18">
        <v>26.040000000000003</v>
      </c>
      <c r="I56" s="17" t="s">
        <v>49</v>
      </c>
      <c r="J56" s="17" t="s">
        <v>48</v>
      </c>
      <c r="K56" s="17"/>
      <c r="L56" s="17"/>
      <c r="M56" s="16" t="str">
        <f>HYPERLINK("http://slimages.macys.com/is/image/MCY/19635029 ")</f>
        <v xml:space="preserve">http://slimages.macys.com/is/image/MCY/19635029 </v>
      </c>
      <c r="N56" s="30"/>
    </row>
    <row r="57" spans="1:14" ht="60" x14ac:dyDescent="0.25">
      <c r="A57" s="19" t="s">
        <v>4013</v>
      </c>
      <c r="B57" s="17" t="s">
        <v>4012</v>
      </c>
      <c r="C57" s="20">
        <v>1</v>
      </c>
      <c r="D57" s="18">
        <v>118</v>
      </c>
      <c r="E57" s="20" t="s">
        <v>4011</v>
      </c>
      <c r="F57" s="17" t="s">
        <v>3037</v>
      </c>
      <c r="G57" s="19"/>
      <c r="H57" s="18">
        <v>26.040000000000003</v>
      </c>
      <c r="I57" s="17" t="s">
        <v>49</v>
      </c>
      <c r="J57" s="17" t="s">
        <v>48</v>
      </c>
      <c r="K57" s="17"/>
      <c r="L57" s="17"/>
      <c r="M57" s="16" t="str">
        <f>HYPERLINK("http://slimages.macys.com/is/image/MCY/19634708 ")</f>
        <v xml:space="preserve">http://slimages.macys.com/is/image/MCY/19634708 </v>
      </c>
      <c r="N57" s="30"/>
    </row>
    <row r="58" spans="1:14" ht="60" x14ac:dyDescent="0.25">
      <c r="A58" s="19" t="s">
        <v>4010</v>
      </c>
      <c r="B58" s="17" t="s">
        <v>4009</v>
      </c>
      <c r="C58" s="20">
        <v>1</v>
      </c>
      <c r="D58" s="18">
        <v>118</v>
      </c>
      <c r="E58" s="20" t="s">
        <v>2160</v>
      </c>
      <c r="F58" s="17" t="s">
        <v>23</v>
      </c>
      <c r="G58" s="19" t="s">
        <v>682</v>
      </c>
      <c r="H58" s="18">
        <v>26.040000000000003</v>
      </c>
      <c r="I58" s="17" t="s">
        <v>49</v>
      </c>
      <c r="J58" s="17" t="s">
        <v>48</v>
      </c>
      <c r="K58" s="17"/>
      <c r="L58" s="17"/>
      <c r="M58" s="16" t="str">
        <f>HYPERLINK("http://slimages.macys.com/is/image/MCY/19349047 ")</f>
        <v xml:space="preserve">http://slimages.macys.com/is/image/MCY/19349047 </v>
      </c>
      <c r="N58" s="30"/>
    </row>
    <row r="59" spans="1:14" ht="60" x14ac:dyDescent="0.25">
      <c r="A59" s="19" t="s">
        <v>4008</v>
      </c>
      <c r="B59" s="17" t="s">
        <v>4007</v>
      </c>
      <c r="C59" s="20">
        <v>1</v>
      </c>
      <c r="D59" s="18">
        <v>129</v>
      </c>
      <c r="E59" s="20">
        <v>10803246</v>
      </c>
      <c r="F59" s="17" t="s">
        <v>282</v>
      </c>
      <c r="G59" s="19" t="s">
        <v>139</v>
      </c>
      <c r="H59" s="18">
        <v>25.8</v>
      </c>
      <c r="I59" s="17" t="s">
        <v>358</v>
      </c>
      <c r="J59" s="17" t="s">
        <v>554</v>
      </c>
      <c r="K59" s="17"/>
      <c r="L59" s="17"/>
      <c r="M59" s="16" t="str">
        <f>HYPERLINK("http://slimages.macys.com/is/image/MCY/19205618 ")</f>
        <v xml:space="preserve">http://slimages.macys.com/is/image/MCY/19205618 </v>
      </c>
      <c r="N59" s="30"/>
    </row>
    <row r="60" spans="1:14" ht="60" x14ac:dyDescent="0.25">
      <c r="A60" s="19" t="s">
        <v>4006</v>
      </c>
      <c r="B60" s="17" t="s">
        <v>4005</v>
      </c>
      <c r="C60" s="20">
        <v>1</v>
      </c>
      <c r="D60" s="18">
        <v>90.3</v>
      </c>
      <c r="E60" s="20" t="s">
        <v>4004</v>
      </c>
      <c r="F60" s="17" t="s">
        <v>23</v>
      </c>
      <c r="G60" s="19"/>
      <c r="H60" s="18">
        <v>25.38</v>
      </c>
      <c r="I60" s="17" t="s">
        <v>42</v>
      </c>
      <c r="J60" s="17" t="s">
        <v>41</v>
      </c>
      <c r="K60" s="17"/>
      <c r="L60" s="17"/>
      <c r="M60" s="16" t="str">
        <f>HYPERLINK("http://slimages.macys.com/is/image/MCY/18549074 ")</f>
        <v xml:space="preserve">http://slimages.macys.com/is/image/MCY/18549074 </v>
      </c>
      <c r="N60" s="30"/>
    </row>
    <row r="61" spans="1:14" ht="60" x14ac:dyDescent="0.25">
      <c r="A61" s="19" t="s">
        <v>4003</v>
      </c>
      <c r="B61" s="17" t="s">
        <v>4002</v>
      </c>
      <c r="C61" s="20">
        <v>1</v>
      </c>
      <c r="D61" s="18">
        <v>129</v>
      </c>
      <c r="E61" s="20">
        <v>10756816</v>
      </c>
      <c r="F61" s="17" t="s">
        <v>51</v>
      </c>
      <c r="G61" s="19" t="s">
        <v>69</v>
      </c>
      <c r="H61" s="18">
        <v>24.94</v>
      </c>
      <c r="I61" s="17" t="s">
        <v>120</v>
      </c>
      <c r="J61" s="17" t="s">
        <v>119</v>
      </c>
      <c r="K61" s="17" t="s">
        <v>389</v>
      </c>
      <c r="L61" s="17" t="s">
        <v>1359</v>
      </c>
      <c r="M61" s="16" t="str">
        <f>HYPERLINK("http://slimages.macys.com/is/image/MCY/16256459 ")</f>
        <v xml:space="preserve">http://slimages.macys.com/is/image/MCY/16256459 </v>
      </c>
      <c r="N61" s="30"/>
    </row>
    <row r="62" spans="1:14" ht="60" x14ac:dyDescent="0.25">
      <c r="A62" s="19" t="s">
        <v>4001</v>
      </c>
      <c r="B62" s="17" t="s">
        <v>4000</v>
      </c>
      <c r="C62" s="20">
        <v>1</v>
      </c>
      <c r="D62" s="18">
        <v>129</v>
      </c>
      <c r="E62" s="20">
        <v>10756816</v>
      </c>
      <c r="F62" s="17" t="s">
        <v>51</v>
      </c>
      <c r="G62" s="19" t="s">
        <v>43</v>
      </c>
      <c r="H62" s="18">
        <v>24.94</v>
      </c>
      <c r="I62" s="17" t="s">
        <v>120</v>
      </c>
      <c r="J62" s="17" t="s">
        <v>119</v>
      </c>
      <c r="K62" s="17" t="s">
        <v>389</v>
      </c>
      <c r="L62" s="17" t="s">
        <v>1359</v>
      </c>
      <c r="M62" s="16" t="str">
        <f>HYPERLINK("http://slimages.macys.com/is/image/MCY/16256459 ")</f>
        <v xml:space="preserve">http://slimages.macys.com/is/image/MCY/16256459 </v>
      </c>
      <c r="N62" s="30"/>
    </row>
    <row r="63" spans="1:14" ht="60" x14ac:dyDescent="0.25">
      <c r="A63" s="19" t="s">
        <v>3999</v>
      </c>
      <c r="B63" s="17" t="s">
        <v>3998</v>
      </c>
      <c r="C63" s="20">
        <v>1</v>
      </c>
      <c r="D63" s="18">
        <v>110</v>
      </c>
      <c r="E63" s="20" t="s">
        <v>3997</v>
      </c>
      <c r="F63" s="17" t="s">
        <v>51</v>
      </c>
      <c r="G63" s="19" t="s">
        <v>62</v>
      </c>
      <c r="H63" s="18">
        <v>24.2</v>
      </c>
      <c r="I63" s="17" t="s">
        <v>158</v>
      </c>
      <c r="J63" s="17" t="s">
        <v>3005</v>
      </c>
      <c r="K63" s="17"/>
      <c r="L63" s="17"/>
      <c r="M63" s="16" t="str">
        <f>HYPERLINK("http://slimages.macys.com/is/image/MCY/18516405 ")</f>
        <v xml:space="preserve">http://slimages.macys.com/is/image/MCY/18516405 </v>
      </c>
      <c r="N63" s="30"/>
    </row>
    <row r="64" spans="1:14" ht="60" x14ac:dyDescent="0.25">
      <c r="A64" s="19" t="s">
        <v>3996</v>
      </c>
      <c r="B64" s="17" t="s">
        <v>3995</v>
      </c>
      <c r="C64" s="20">
        <v>1</v>
      </c>
      <c r="D64" s="18">
        <v>79</v>
      </c>
      <c r="E64" s="20" t="s">
        <v>3994</v>
      </c>
      <c r="F64" s="17" t="s">
        <v>28</v>
      </c>
      <c r="G64" s="19" t="s">
        <v>898</v>
      </c>
      <c r="H64" s="18">
        <v>24</v>
      </c>
      <c r="I64" s="17" t="s">
        <v>148</v>
      </c>
      <c r="J64" s="17" t="s">
        <v>772</v>
      </c>
      <c r="K64" s="17"/>
      <c r="L64" s="17"/>
      <c r="M64" s="16" t="str">
        <f>HYPERLINK("http://slimages.macys.com/is/image/MCY/16428923 ")</f>
        <v xml:space="preserve">http://slimages.macys.com/is/image/MCY/16428923 </v>
      </c>
      <c r="N64" s="30"/>
    </row>
    <row r="65" spans="1:14" ht="108" x14ac:dyDescent="0.25">
      <c r="A65" s="19" t="s">
        <v>3993</v>
      </c>
      <c r="B65" s="17" t="s">
        <v>3992</v>
      </c>
      <c r="C65" s="20">
        <v>1</v>
      </c>
      <c r="D65" s="18">
        <v>119</v>
      </c>
      <c r="E65" s="20" t="s">
        <v>3991</v>
      </c>
      <c r="F65" s="17" t="s">
        <v>35</v>
      </c>
      <c r="G65" s="19" t="s">
        <v>880</v>
      </c>
      <c r="H65" s="18">
        <v>24</v>
      </c>
      <c r="I65" s="17" t="s">
        <v>550</v>
      </c>
      <c r="J65" s="17" t="s">
        <v>1448</v>
      </c>
      <c r="K65" s="17" t="s">
        <v>389</v>
      </c>
      <c r="L65" s="17" t="s">
        <v>3990</v>
      </c>
      <c r="M65" s="16" t="str">
        <f>HYPERLINK("http://slimages.macys.com/is/image/MCY/11385180 ")</f>
        <v xml:space="preserve">http://slimages.macys.com/is/image/MCY/11385180 </v>
      </c>
      <c r="N65" s="30"/>
    </row>
    <row r="66" spans="1:14" ht="60" x14ac:dyDescent="0.25">
      <c r="A66" s="19" t="s">
        <v>3989</v>
      </c>
      <c r="B66" s="17" t="s">
        <v>3988</v>
      </c>
      <c r="C66" s="20">
        <v>1</v>
      </c>
      <c r="D66" s="18">
        <v>108</v>
      </c>
      <c r="E66" s="20" t="s">
        <v>2138</v>
      </c>
      <c r="F66" s="17" t="s">
        <v>28</v>
      </c>
      <c r="G66" s="19"/>
      <c r="H66" s="18">
        <v>23.833333333333336</v>
      </c>
      <c r="I66" s="17" t="s">
        <v>49</v>
      </c>
      <c r="J66" s="17" t="s">
        <v>48</v>
      </c>
      <c r="K66" s="17"/>
      <c r="L66" s="17"/>
      <c r="M66" s="16" t="str">
        <f>HYPERLINK("http://slimages.macys.com/is/image/MCY/19348863 ")</f>
        <v xml:space="preserve">http://slimages.macys.com/is/image/MCY/19348863 </v>
      </c>
      <c r="N66" s="30"/>
    </row>
    <row r="67" spans="1:14" ht="60" x14ac:dyDescent="0.25">
      <c r="A67" s="19" t="s">
        <v>3987</v>
      </c>
      <c r="B67" s="17" t="s">
        <v>3986</v>
      </c>
      <c r="C67" s="20">
        <v>1</v>
      </c>
      <c r="D67" s="18">
        <v>108</v>
      </c>
      <c r="E67" s="20" t="s">
        <v>3983</v>
      </c>
      <c r="F67" s="17"/>
      <c r="G67" s="19"/>
      <c r="H67" s="18">
        <v>23.833333333333336</v>
      </c>
      <c r="I67" s="17" t="s">
        <v>49</v>
      </c>
      <c r="J67" s="17" t="s">
        <v>48</v>
      </c>
      <c r="K67" s="17"/>
      <c r="L67" s="17"/>
      <c r="M67" s="16" t="str">
        <f>HYPERLINK("http://slimages.macys.com/is/image/MCY/19288674 ")</f>
        <v xml:space="preserve">http://slimages.macys.com/is/image/MCY/19288674 </v>
      </c>
      <c r="N67" s="30"/>
    </row>
    <row r="68" spans="1:14" ht="60" x14ac:dyDescent="0.25">
      <c r="A68" s="19" t="s">
        <v>3985</v>
      </c>
      <c r="B68" s="17" t="s">
        <v>3984</v>
      </c>
      <c r="C68" s="20">
        <v>3</v>
      </c>
      <c r="D68" s="18">
        <v>108</v>
      </c>
      <c r="E68" s="20" t="s">
        <v>3983</v>
      </c>
      <c r="F68" s="17" t="s">
        <v>2876</v>
      </c>
      <c r="G68" s="19"/>
      <c r="H68" s="18">
        <v>23.833333333333336</v>
      </c>
      <c r="I68" s="17" t="s">
        <v>49</v>
      </c>
      <c r="J68" s="17" t="s">
        <v>48</v>
      </c>
      <c r="K68" s="17"/>
      <c r="L68" s="17"/>
      <c r="M68" s="16" t="str">
        <f>HYPERLINK("http://slimages.macys.com/is/image/MCY/19288674 ")</f>
        <v xml:space="preserve">http://slimages.macys.com/is/image/MCY/19288674 </v>
      </c>
      <c r="N68" s="30"/>
    </row>
    <row r="69" spans="1:14" ht="60" x14ac:dyDescent="0.25">
      <c r="A69" s="19" t="s">
        <v>3982</v>
      </c>
      <c r="B69" s="17" t="s">
        <v>3981</v>
      </c>
      <c r="C69" s="20">
        <v>1</v>
      </c>
      <c r="D69" s="18">
        <v>108</v>
      </c>
      <c r="E69" s="20" t="s">
        <v>3980</v>
      </c>
      <c r="F69" s="17" t="s">
        <v>345</v>
      </c>
      <c r="G69" s="19" t="s">
        <v>62</v>
      </c>
      <c r="H69" s="18">
        <v>23.833333333333336</v>
      </c>
      <c r="I69" s="17" t="s">
        <v>49</v>
      </c>
      <c r="J69" s="17" t="s">
        <v>48</v>
      </c>
      <c r="K69" s="17"/>
      <c r="L69" s="17"/>
      <c r="M69" s="16" t="str">
        <f>HYPERLINK("http://slimages.macys.com/is/image/MCY/19352573 ")</f>
        <v xml:space="preserve">http://slimages.macys.com/is/image/MCY/19352573 </v>
      </c>
      <c r="N69" s="30"/>
    </row>
    <row r="70" spans="1:14" ht="60" x14ac:dyDescent="0.25">
      <c r="A70" s="19" t="s">
        <v>2945</v>
      </c>
      <c r="B70" s="17" t="s">
        <v>2944</v>
      </c>
      <c r="C70" s="20">
        <v>1</v>
      </c>
      <c r="D70" s="18">
        <v>108</v>
      </c>
      <c r="E70" s="20" t="s">
        <v>2943</v>
      </c>
      <c r="F70" s="17" t="s">
        <v>390</v>
      </c>
      <c r="G70" s="19" t="s">
        <v>17</v>
      </c>
      <c r="H70" s="18">
        <v>23.833333333333336</v>
      </c>
      <c r="I70" s="17" t="s">
        <v>49</v>
      </c>
      <c r="J70" s="17" t="s">
        <v>48</v>
      </c>
      <c r="K70" s="17"/>
      <c r="L70" s="17"/>
      <c r="M70" s="16" t="str">
        <f>HYPERLINK("http://slimages.macys.com/is/image/MCY/19192622 ")</f>
        <v xml:space="preserve">http://slimages.macys.com/is/image/MCY/19192622 </v>
      </c>
      <c r="N70" s="30"/>
    </row>
    <row r="71" spans="1:14" ht="72" x14ac:dyDescent="0.25">
      <c r="A71" s="19" t="s">
        <v>3979</v>
      </c>
      <c r="B71" s="17" t="s">
        <v>3978</v>
      </c>
      <c r="C71" s="20">
        <v>1</v>
      </c>
      <c r="D71" s="18">
        <v>129</v>
      </c>
      <c r="E71" s="20">
        <v>10734464</v>
      </c>
      <c r="F71" s="17" t="s">
        <v>508</v>
      </c>
      <c r="G71" s="19" t="s">
        <v>698</v>
      </c>
      <c r="H71" s="18">
        <v>23.220000000000002</v>
      </c>
      <c r="I71" s="17" t="s">
        <v>144</v>
      </c>
      <c r="J71" s="17" t="s">
        <v>143</v>
      </c>
      <c r="K71" s="17" t="s">
        <v>389</v>
      </c>
      <c r="L71" s="17" t="s">
        <v>1154</v>
      </c>
      <c r="M71" s="16" t="str">
        <f>HYPERLINK("http://slimages.macys.com/is/image/MCY/15213004 ")</f>
        <v xml:space="preserve">http://slimages.macys.com/is/image/MCY/15213004 </v>
      </c>
      <c r="N71" s="30"/>
    </row>
    <row r="72" spans="1:14" ht="60" x14ac:dyDescent="0.25">
      <c r="A72" s="19" t="s">
        <v>3977</v>
      </c>
      <c r="B72" s="17" t="s">
        <v>3976</v>
      </c>
      <c r="C72" s="20">
        <v>1</v>
      </c>
      <c r="D72" s="18">
        <v>128</v>
      </c>
      <c r="E72" s="20" t="s">
        <v>3975</v>
      </c>
      <c r="F72" s="17" t="s">
        <v>216</v>
      </c>
      <c r="G72" s="19" t="s">
        <v>658</v>
      </c>
      <c r="H72" s="18">
        <v>23.04</v>
      </c>
      <c r="I72" s="17" t="s">
        <v>115</v>
      </c>
      <c r="J72" s="17" t="s">
        <v>742</v>
      </c>
      <c r="K72" s="17"/>
      <c r="L72" s="17"/>
      <c r="M72" s="16" t="str">
        <f>HYPERLINK("http://slimages.macys.com/is/image/MCY/21228051 ")</f>
        <v xml:space="preserve">http://slimages.macys.com/is/image/MCY/21228051 </v>
      </c>
      <c r="N72" s="30"/>
    </row>
    <row r="73" spans="1:14" ht="84" x14ac:dyDescent="0.25">
      <c r="A73" s="19" t="s">
        <v>3974</v>
      </c>
      <c r="B73" s="17" t="s">
        <v>3973</v>
      </c>
      <c r="C73" s="20">
        <v>1</v>
      </c>
      <c r="D73" s="18">
        <v>79</v>
      </c>
      <c r="E73" s="20">
        <v>10695504</v>
      </c>
      <c r="F73" s="17" t="s">
        <v>51</v>
      </c>
      <c r="G73" s="19" t="s">
        <v>880</v>
      </c>
      <c r="H73" s="18">
        <v>22.12</v>
      </c>
      <c r="I73" s="17" t="s">
        <v>358</v>
      </c>
      <c r="J73" s="17" t="s">
        <v>143</v>
      </c>
      <c r="K73" s="17" t="s">
        <v>389</v>
      </c>
      <c r="L73" s="17" t="s">
        <v>3972</v>
      </c>
      <c r="M73" s="16" t="str">
        <f>HYPERLINK("http://slimages.macys.com/is/image/MCY/9988589 ")</f>
        <v xml:space="preserve">http://slimages.macys.com/is/image/MCY/9988589 </v>
      </c>
      <c r="N73" s="30"/>
    </row>
    <row r="74" spans="1:14" ht="60" x14ac:dyDescent="0.25">
      <c r="A74" s="19" t="s">
        <v>3971</v>
      </c>
      <c r="B74" s="17" t="s">
        <v>3970</v>
      </c>
      <c r="C74" s="20">
        <v>1</v>
      </c>
      <c r="D74" s="18">
        <v>109.5</v>
      </c>
      <c r="E74" s="20" t="s">
        <v>3969</v>
      </c>
      <c r="F74" s="17" t="s">
        <v>272</v>
      </c>
      <c r="G74" s="19" t="s">
        <v>69</v>
      </c>
      <c r="H74" s="18">
        <v>22.060000000000002</v>
      </c>
      <c r="I74" s="17" t="s">
        <v>106</v>
      </c>
      <c r="J74" s="17" t="s">
        <v>105</v>
      </c>
      <c r="K74" s="17"/>
      <c r="L74" s="17"/>
      <c r="M74" s="16" t="str">
        <f>HYPERLINK("http://slimages.macys.com/is/image/MCY/19899858 ")</f>
        <v xml:space="preserve">http://slimages.macys.com/is/image/MCY/19899858 </v>
      </c>
      <c r="N74" s="30"/>
    </row>
    <row r="75" spans="1:14" ht="72" x14ac:dyDescent="0.25">
      <c r="A75" s="19" t="s">
        <v>3968</v>
      </c>
      <c r="B75" s="17" t="s">
        <v>3967</v>
      </c>
      <c r="C75" s="20">
        <v>1</v>
      </c>
      <c r="D75" s="18">
        <v>72</v>
      </c>
      <c r="E75" s="20" t="s">
        <v>3966</v>
      </c>
      <c r="F75" s="17" t="s">
        <v>23</v>
      </c>
      <c r="G75" s="19" t="s">
        <v>69</v>
      </c>
      <c r="H75" s="18">
        <v>22</v>
      </c>
      <c r="I75" s="17" t="s">
        <v>133</v>
      </c>
      <c r="J75" s="17" t="s">
        <v>1437</v>
      </c>
      <c r="K75" s="17" t="s">
        <v>3965</v>
      </c>
      <c r="L75" s="17" t="s">
        <v>3964</v>
      </c>
      <c r="M75" s="16" t="str">
        <f>HYPERLINK("http://images.bloomingdales.com/is/image/BLM/10686975 ")</f>
        <v xml:space="preserve">http://images.bloomingdales.com/is/image/BLM/10686975 </v>
      </c>
      <c r="N75" s="30"/>
    </row>
    <row r="76" spans="1:14" ht="60" x14ac:dyDescent="0.25">
      <c r="A76" s="19" t="s">
        <v>3963</v>
      </c>
      <c r="B76" s="17" t="s">
        <v>3962</v>
      </c>
      <c r="C76" s="20">
        <v>1</v>
      </c>
      <c r="D76" s="18">
        <v>138</v>
      </c>
      <c r="E76" s="20" t="s">
        <v>3961</v>
      </c>
      <c r="F76" s="17" t="s">
        <v>28</v>
      </c>
      <c r="G76" s="19" t="s">
        <v>1368</v>
      </c>
      <c r="H76" s="18">
        <v>22</v>
      </c>
      <c r="I76" s="17" t="s">
        <v>115</v>
      </c>
      <c r="J76" s="17" t="s">
        <v>1367</v>
      </c>
      <c r="K76" s="17"/>
      <c r="L76" s="17"/>
      <c r="M76" s="16" t="str">
        <f>HYPERLINK("http://slimages.macys.com/is/image/MCY/16973965 ")</f>
        <v xml:space="preserve">http://slimages.macys.com/is/image/MCY/16973965 </v>
      </c>
      <c r="N76" s="30"/>
    </row>
    <row r="77" spans="1:14" ht="60" x14ac:dyDescent="0.25">
      <c r="A77" s="19" t="s">
        <v>3960</v>
      </c>
      <c r="B77" s="17" t="s">
        <v>3959</v>
      </c>
      <c r="C77" s="20">
        <v>1</v>
      </c>
      <c r="D77" s="18">
        <v>99.5</v>
      </c>
      <c r="E77" s="20" t="s">
        <v>3958</v>
      </c>
      <c r="F77" s="17" t="s">
        <v>51</v>
      </c>
      <c r="G77" s="19" t="s">
        <v>749</v>
      </c>
      <c r="H77" s="18">
        <v>21.893333333333334</v>
      </c>
      <c r="I77" s="17" t="s">
        <v>654</v>
      </c>
      <c r="J77" s="17" t="s">
        <v>653</v>
      </c>
      <c r="K77" s="17"/>
      <c r="L77" s="17"/>
      <c r="M77" s="16" t="str">
        <f>HYPERLINK("http://slimages.macys.com/is/image/MCY/19444416 ")</f>
        <v xml:space="preserve">http://slimages.macys.com/is/image/MCY/19444416 </v>
      </c>
      <c r="N77" s="30"/>
    </row>
    <row r="78" spans="1:14" ht="60" x14ac:dyDescent="0.25">
      <c r="A78" s="19" t="s">
        <v>3957</v>
      </c>
      <c r="B78" s="17" t="s">
        <v>3956</v>
      </c>
      <c r="C78" s="20">
        <v>1</v>
      </c>
      <c r="D78" s="18">
        <v>109</v>
      </c>
      <c r="E78" s="20">
        <v>10809706</v>
      </c>
      <c r="F78" s="17" t="s">
        <v>575</v>
      </c>
      <c r="G78" s="19" t="s">
        <v>351</v>
      </c>
      <c r="H78" s="18">
        <v>21.8</v>
      </c>
      <c r="I78" s="17" t="s">
        <v>358</v>
      </c>
      <c r="J78" s="17" t="s">
        <v>554</v>
      </c>
      <c r="K78" s="17"/>
      <c r="L78" s="17"/>
      <c r="M78" s="16" t="str">
        <f>HYPERLINK("http://slimages.macys.com/is/image/MCY/19382260 ")</f>
        <v xml:space="preserve">http://slimages.macys.com/is/image/MCY/19382260 </v>
      </c>
      <c r="N78" s="30"/>
    </row>
    <row r="79" spans="1:14" ht="60" x14ac:dyDescent="0.25">
      <c r="A79" s="19" t="s">
        <v>3955</v>
      </c>
      <c r="B79" s="17" t="s">
        <v>3954</v>
      </c>
      <c r="C79" s="20">
        <v>2</v>
      </c>
      <c r="D79" s="18">
        <v>109</v>
      </c>
      <c r="E79" s="20">
        <v>10807724</v>
      </c>
      <c r="F79" s="17" t="s">
        <v>282</v>
      </c>
      <c r="G79" s="19" t="s">
        <v>351</v>
      </c>
      <c r="H79" s="18">
        <v>21.8</v>
      </c>
      <c r="I79" s="17" t="s">
        <v>358</v>
      </c>
      <c r="J79" s="17" t="s">
        <v>554</v>
      </c>
      <c r="K79" s="17"/>
      <c r="L79" s="17"/>
      <c r="M79" s="16" t="str">
        <f>HYPERLINK("http://slimages.macys.com/is/image/MCY/19205622 ")</f>
        <v xml:space="preserve">http://slimages.macys.com/is/image/MCY/19205622 </v>
      </c>
      <c r="N79" s="30"/>
    </row>
    <row r="80" spans="1:14" ht="108" x14ac:dyDescent="0.25">
      <c r="A80" s="19" t="s">
        <v>2118</v>
      </c>
      <c r="B80" s="17" t="s">
        <v>2117</v>
      </c>
      <c r="C80" s="20">
        <v>6</v>
      </c>
      <c r="D80" s="18">
        <v>89</v>
      </c>
      <c r="E80" s="20" t="s">
        <v>2116</v>
      </c>
      <c r="F80" s="17" t="s">
        <v>91</v>
      </c>
      <c r="G80" s="19" t="s">
        <v>773</v>
      </c>
      <c r="H80" s="18">
        <v>21.666666666666668</v>
      </c>
      <c r="I80" s="17" t="s">
        <v>678</v>
      </c>
      <c r="J80" s="17" t="s">
        <v>404</v>
      </c>
      <c r="K80" s="17" t="s">
        <v>389</v>
      </c>
      <c r="L80" s="17" t="s">
        <v>2115</v>
      </c>
      <c r="M80" s="16" t="str">
        <f>HYPERLINK("http://slimages.macys.com/is/image/MCY/8809233 ")</f>
        <v xml:space="preserve">http://slimages.macys.com/is/image/MCY/8809233 </v>
      </c>
      <c r="N80" s="30"/>
    </row>
    <row r="81" spans="1:14" ht="60" x14ac:dyDescent="0.25">
      <c r="A81" s="19" t="s">
        <v>3953</v>
      </c>
      <c r="B81" s="17" t="s">
        <v>3952</v>
      </c>
      <c r="C81" s="20">
        <v>1</v>
      </c>
      <c r="D81" s="18">
        <v>98</v>
      </c>
      <c r="E81" s="20" t="s">
        <v>3951</v>
      </c>
      <c r="F81" s="17" t="s">
        <v>164</v>
      </c>
      <c r="G81" s="19" t="s">
        <v>22</v>
      </c>
      <c r="H81" s="18">
        <v>21.626666666666669</v>
      </c>
      <c r="I81" s="17" t="s">
        <v>49</v>
      </c>
      <c r="J81" s="17" t="s">
        <v>48</v>
      </c>
      <c r="K81" s="17"/>
      <c r="L81" s="17"/>
      <c r="M81" s="16" t="str">
        <f>HYPERLINK("http://slimages.macys.com/is/image/MCY/19140842 ")</f>
        <v xml:space="preserve">http://slimages.macys.com/is/image/MCY/19140842 </v>
      </c>
      <c r="N81" s="30"/>
    </row>
    <row r="82" spans="1:14" ht="60" x14ac:dyDescent="0.25">
      <c r="A82" s="19" t="s">
        <v>3950</v>
      </c>
      <c r="B82" s="17" t="s">
        <v>3949</v>
      </c>
      <c r="C82" s="20">
        <v>2</v>
      </c>
      <c r="D82" s="18">
        <v>98</v>
      </c>
      <c r="E82" s="20" t="s">
        <v>3948</v>
      </c>
      <c r="F82" s="17" t="s">
        <v>508</v>
      </c>
      <c r="G82" s="19" t="s">
        <v>101</v>
      </c>
      <c r="H82" s="18">
        <v>21.626666666666669</v>
      </c>
      <c r="I82" s="17" t="s">
        <v>49</v>
      </c>
      <c r="J82" s="17" t="s">
        <v>48</v>
      </c>
      <c r="K82" s="17"/>
      <c r="L82" s="17"/>
      <c r="M82" s="16" t="str">
        <f>HYPERLINK("http://slimages.macys.com/is/image/MCY/19176248 ")</f>
        <v xml:space="preserve">http://slimages.macys.com/is/image/MCY/19176248 </v>
      </c>
      <c r="N82" s="30"/>
    </row>
    <row r="83" spans="1:14" ht="60" x14ac:dyDescent="0.25">
      <c r="A83" s="19" t="s">
        <v>3947</v>
      </c>
      <c r="B83" s="17" t="s">
        <v>3946</v>
      </c>
      <c r="C83" s="20">
        <v>1</v>
      </c>
      <c r="D83" s="18">
        <v>98</v>
      </c>
      <c r="E83" s="20" t="s">
        <v>665</v>
      </c>
      <c r="F83" s="17" t="s">
        <v>51</v>
      </c>
      <c r="G83" s="19" t="s">
        <v>101</v>
      </c>
      <c r="H83" s="18">
        <v>21.626666666666669</v>
      </c>
      <c r="I83" s="17" t="s">
        <v>49</v>
      </c>
      <c r="J83" s="17" t="s">
        <v>48</v>
      </c>
      <c r="K83" s="17"/>
      <c r="L83" s="17"/>
      <c r="M83" s="16" t="str">
        <f>HYPERLINK("http://slimages.macys.com/is/image/MCY/16691834 ")</f>
        <v xml:space="preserve">http://slimages.macys.com/is/image/MCY/16691834 </v>
      </c>
      <c r="N83" s="30"/>
    </row>
    <row r="84" spans="1:14" ht="60" x14ac:dyDescent="0.25">
      <c r="A84" s="19" t="s">
        <v>3945</v>
      </c>
      <c r="B84" s="17" t="s">
        <v>3944</v>
      </c>
      <c r="C84" s="20">
        <v>1</v>
      </c>
      <c r="D84" s="18">
        <v>98</v>
      </c>
      <c r="E84" s="20" t="s">
        <v>3938</v>
      </c>
      <c r="F84" s="17" t="s">
        <v>734</v>
      </c>
      <c r="G84" s="19" t="s">
        <v>17</v>
      </c>
      <c r="H84" s="18">
        <v>21.626666666666669</v>
      </c>
      <c r="I84" s="17" t="s">
        <v>49</v>
      </c>
      <c r="J84" s="17" t="s">
        <v>48</v>
      </c>
      <c r="K84" s="17" t="s">
        <v>389</v>
      </c>
      <c r="L84" s="17" t="s">
        <v>3937</v>
      </c>
      <c r="M84" s="16" t="str">
        <f>HYPERLINK("http://slimages.macys.com/is/image/MCY/18749997 ")</f>
        <v xml:space="preserve">http://slimages.macys.com/is/image/MCY/18749997 </v>
      </c>
      <c r="N84" s="30"/>
    </row>
    <row r="85" spans="1:14" ht="60" x14ac:dyDescent="0.25">
      <c r="A85" s="19" t="s">
        <v>3943</v>
      </c>
      <c r="B85" s="17" t="s">
        <v>3942</v>
      </c>
      <c r="C85" s="20">
        <v>1</v>
      </c>
      <c r="D85" s="18">
        <v>98</v>
      </c>
      <c r="E85" s="20" t="s">
        <v>3941</v>
      </c>
      <c r="F85" s="17" t="s">
        <v>23</v>
      </c>
      <c r="G85" s="19" t="s">
        <v>17</v>
      </c>
      <c r="H85" s="18">
        <v>21.626666666666669</v>
      </c>
      <c r="I85" s="17" t="s">
        <v>49</v>
      </c>
      <c r="J85" s="17" t="s">
        <v>48</v>
      </c>
      <c r="K85" s="17"/>
      <c r="L85" s="17"/>
      <c r="M85" s="16" t="str">
        <f>HYPERLINK("http://slimages.macys.com/is/image/MCY/19349027 ")</f>
        <v xml:space="preserve">http://slimages.macys.com/is/image/MCY/19349027 </v>
      </c>
      <c r="N85" s="30"/>
    </row>
    <row r="86" spans="1:14" ht="60" x14ac:dyDescent="0.25">
      <c r="A86" s="19" t="s">
        <v>690</v>
      </c>
      <c r="B86" s="17" t="s">
        <v>689</v>
      </c>
      <c r="C86" s="20">
        <v>2</v>
      </c>
      <c r="D86" s="18">
        <v>98</v>
      </c>
      <c r="E86" s="20" t="s">
        <v>688</v>
      </c>
      <c r="F86" s="17"/>
      <c r="G86" s="19"/>
      <c r="H86" s="18">
        <v>21.626666666666669</v>
      </c>
      <c r="I86" s="17" t="s">
        <v>49</v>
      </c>
      <c r="J86" s="17" t="s">
        <v>48</v>
      </c>
      <c r="K86" s="17"/>
      <c r="L86" s="17"/>
      <c r="M86" s="16" t="str">
        <f>HYPERLINK("http://slimages.macys.com/is/image/MCY/18990443 ")</f>
        <v xml:space="preserve">http://slimages.macys.com/is/image/MCY/18990443 </v>
      </c>
      <c r="N86" s="30"/>
    </row>
    <row r="87" spans="1:14" ht="60" x14ac:dyDescent="0.25">
      <c r="A87" s="19" t="s">
        <v>2922</v>
      </c>
      <c r="B87" s="17" t="s">
        <v>2921</v>
      </c>
      <c r="C87" s="20">
        <v>1</v>
      </c>
      <c r="D87" s="18">
        <v>98</v>
      </c>
      <c r="E87" s="20" t="s">
        <v>691</v>
      </c>
      <c r="F87" s="17" t="s">
        <v>149</v>
      </c>
      <c r="G87" s="19"/>
      <c r="H87" s="18">
        <v>21.626666666666669</v>
      </c>
      <c r="I87" s="17" t="s">
        <v>49</v>
      </c>
      <c r="J87" s="17" t="s">
        <v>48</v>
      </c>
      <c r="K87" s="17"/>
      <c r="L87" s="17"/>
      <c r="M87" s="16" t="str">
        <f>HYPERLINK("http://slimages.macys.com/is/image/MCY/19379962 ")</f>
        <v xml:space="preserve">http://slimages.macys.com/is/image/MCY/19379962 </v>
      </c>
      <c r="N87" s="30"/>
    </row>
    <row r="88" spans="1:14" ht="60" x14ac:dyDescent="0.25">
      <c r="A88" s="19" t="s">
        <v>3940</v>
      </c>
      <c r="B88" s="17" t="s">
        <v>3939</v>
      </c>
      <c r="C88" s="20">
        <v>1</v>
      </c>
      <c r="D88" s="18">
        <v>98</v>
      </c>
      <c r="E88" s="20" t="s">
        <v>3938</v>
      </c>
      <c r="F88" s="17" t="s">
        <v>345</v>
      </c>
      <c r="G88" s="19" t="s">
        <v>101</v>
      </c>
      <c r="H88" s="18">
        <v>21.626666666666669</v>
      </c>
      <c r="I88" s="17" t="s">
        <v>49</v>
      </c>
      <c r="J88" s="17" t="s">
        <v>48</v>
      </c>
      <c r="K88" s="17" t="s">
        <v>389</v>
      </c>
      <c r="L88" s="17" t="s">
        <v>3937</v>
      </c>
      <c r="M88" s="16" t="str">
        <f>HYPERLINK("http://slimages.macys.com/is/image/MCY/18753883 ")</f>
        <v xml:space="preserve">http://slimages.macys.com/is/image/MCY/18753883 </v>
      </c>
      <c r="N88" s="30"/>
    </row>
    <row r="89" spans="1:14" ht="60" x14ac:dyDescent="0.25">
      <c r="A89" s="19" t="s">
        <v>3936</v>
      </c>
      <c r="B89" s="17" t="s">
        <v>3935</v>
      </c>
      <c r="C89" s="20">
        <v>1</v>
      </c>
      <c r="D89" s="18">
        <v>98</v>
      </c>
      <c r="E89" s="20" t="s">
        <v>2104</v>
      </c>
      <c r="F89" s="17" t="s">
        <v>1382</v>
      </c>
      <c r="G89" s="19" t="s">
        <v>17</v>
      </c>
      <c r="H89" s="18">
        <v>20.90666666666667</v>
      </c>
      <c r="I89" s="17" t="s">
        <v>49</v>
      </c>
      <c r="J89" s="17" t="s">
        <v>48</v>
      </c>
      <c r="K89" s="17"/>
      <c r="L89" s="17"/>
      <c r="M89" s="16" t="str">
        <f>HYPERLINK("http://slimages.macys.com/is/image/MCY/18610731 ")</f>
        <v xml:space="preserve">http://slimages.macys.com/is/image/MCY/18610731 </v>
      </c>
      <c r="N89" s="30"/>
    </row>
    <row r="90" spans="1:14" ht="84" x14ac:dyDescent="0.25">
      <c r="A90" s="19" t="s">
        <v>3934</v>
      </c>
      <c r="B90" s="17" t="s">
        <v>3933</v>
      </c>
      <c r="C90" s="20">
        <v>1</v>
      </c>
      <c r="D90" s="18">
        <v>67</v>
      </c>
      <c r="E90" s="20" t="s">
        <v>3932</v>
      </c>
      <c r="F90" s="17" t="s">
        <v>51</v>
      </c>
      <c r="G90" s="19" t="s">
        <v>3931</v>
      </c>
      <c r="H90" s="18">
        <v>20.766666666666669</v>
      </c>
      <c r="I90" s="17" t="s">
        <v>33</v>
      </c>
      <c r="J90" s="17" t="s">
        <v>496</v>
      </c>
      <c r="K90" s="17" t="s">
        <v>389</v>
      </c>
      <c r="L90" s="17" t="s">
        <v>668</v>
      </c>
      <c r="M90" s="16" t="str">
        <f>HYPERLINK("http://slimages.macys.com/is/image/MCY/13585182 ")</f>
        <v xml:space="preserve">http://slimages.macys.com/is/image/MCY/13585182 </v>
      </c>
      <c r="N90" s="30"/>
    </row>
    <row r="91" spans="1:14" ht="60" x14ac:dyDescent="0.25">
      <c r="A91" s="19" t="s">
        <v>3930</v>
      </c>
      <c r="B91" s="17" t="s">
        <v>3929</v>
      </c>
      <c r="C91" s="20">
        <v>1</v>
      </c>
      <c r="D91" s="18">
        <v>109</v>
      </c>
      <c r="E91" s="20">
        <v>2321922</v>
      </c>
      <c r="F91" s="17" t="s">
        <v>23</v>
      </c>
      <c r="G91" s="19" t="s">
        <v>857</v>
      </c>
      <c r="H91" s="18">
        <v>20.666666666666668</v>
      </c>
      <c r="I91" s="17" t="s">
        <v>80</v>
      </c>
      <c r="J91" s="17" t="s">
        <v>293</v>
      </c>
      <c r="K91" s="17"/>
      <c r="L91" s="17"/>
      <c r="M91" s="16" t="str">
        <f>HYPERLINK("http://slimages.macys.com/is/image/MCY/18917724 ")</f>
        <v xml:space="preserve">http://slimages.macys.com/is/image/MCY/18917724 </v>
      </c>
      <c r="N91" s="30"/>
    </row>
    <row r="92" spans="1:14" ht="60" x14ac:dyDescent="0.25">
      <c r="A92" s="19" t="s">
        <v>3928</v>
      </c>
      <c r="B92" s="17" t="s">
        <v>3927</v>
      </c>
      <c r="C92" s="20">
        <v>1</v>
      </c>
      <c r="D92" s="18">
        <v>81.75</v>
      </c>
      <c r="E92" s="20" t="s">
        <v>3926</v>
      </c>
      <c r="F92" s="17" t="s">
        <v>1382</v>
      </c>
      <c r="G92" s="19"/>
      <c r="H92" s="18">
        <v>20.573333333333334</v>
      </c>
      <c r="I92" s="17" t="s">
        <v>358</v>
      </c>
      <c r="J92" s="17" t="s">
        <v>32</v>
      </c>
      <c r="K92" s="17"/>
      <c r="L92" s="17"/>
      <c r="M92" s="16" t="str">
        <f>HYPERLINK("http://slimages.macys.com/is/image/MCY/19254769 ")</f>
        <v xml:space="preserve">http://slimages.macys.com/is/image/MCY/19254769 </v>
      </c>
      <c r="N92" s="30"/>
    </row>
    <row r="93" spans="1:14" ht="60" x14ac:dyDescent="0.25">
      <c r="A93" s="19" t="s">
        <v>3925</v>
      </c>
      <c r="B93" s="17" t="s">
        <v>3924</v>
      </c>
      <c r="C93" s="20">
        <v>1</v>
      </c>
      <c r="D93" s="18">
        <v>99</v>
      </c>
      <c r="E93" s="20" t="s">
        <v>3923</v>
      </c>
      <c r="F93" s="17" t="s">
        <v>345</v>
      </c>
      <c r="G93" s="19" t="s">
        <v>749</v>
      </c>
      <c r="H93" s="18">
        <v>19.8</v>
      </c>
      <c r="I93" s="17" t="s">
        <v>678</v>
      </c>
      <c r="J93" s="17" t="s">
        <v>404</v>
      </c>
      <c r="K93" s="17"/>
      <c r="L93" s="17"/>
      <c r="M93" s="16" t="str">
        <f>HYPERLINK("http://slimages.macys.com/is/image/MCY/18798388 ")</f>
        <v xml:space="preserve">http://slimages.macys.com/is/image/MCY/18798388 </v>
      </c>
      <c r="N93" s="30"/>
    </row>
    <row r="94" spans="1:14" ht="60" x14ac:dyDescent="0.25">
      <c r="A94" s="19" t="s">
        <v>3922</v>
      </c>
      <c r="B94" s="17" t="s">
        <v>3921</v>
      </c>
      <c r="C94" s="20">
        <v>2</v>
      </c>
      <c r="D94" s="18">
        <v>74.25</v>
      </c>
      <c r="E94" s="20">
        <v>10649348</v>
      </c>
      <c r="F94" s="17" t="s">
        <v>51</v>
      </c>
      <c r="G94" s="19" t="s">
        <v>271</v>
      </c>
      <c r="H94" s="18">
        <v>19.8</v>
      </c>
      <c r="I94" s="17" t="s">
        <v>358</v>
      </c>
      <c r="J94" s="17" t="s">
        <v>143</v>
      </c>
      <c r="K94" s="17"/>
      <c r="L94" s="17"/>
      <c r="M94" s="16" t="str">
        <f>HYPERLINK("http://slimages.macys.com/is/image/MCY/8796552 ")</f>
        <v xml:space="preserve">http://slimages.macys.com/is/image/MCY/8796552 </v>
      </c>
      <c r="N94" s="30"/>
    </row>
    <row r="95" spans="1:14" ht="60" x14ac:dyDescent="0.25">
      <c r="A95" s="19" t="s">
        <v>3920</v>
      </c>
      <c r="B95" s="17" t="s">
        <v>3919</v>
      </c>
      <c r="C95" s="20">
        <v>1</v>
      </c>
      <c r="D95" s="18">
        <v>99</v>
      </c>
      <c r="E95" s="20">
        <v>10806732</v>
      </c>
      <c r="F95" s="17" t="s">
        <v>764</v>
      </c>
      <c r="G95" s="19" t="s">
        <v>62</v>
      </c>
      <c r="H95" s="18">
        <v>19.8</v>
      </c>
      <c r="I95" s="17" t="s">
        <v>115</v>
      </c>
      <c r="J95" s="17" t="s">
        <v>114</v>
      </c>
      <c r="K95" s="17"/>
      <c r="L95" s="17"/>
      <c r="M95" s="16" t="str">
        <f>HYPERLINK("http://slimages.macys.com/is/image/MCY/19241238 ")</f>
        <v xml:space="preserve">http://slimages.macys.com/is/image/MCY/19241238 </v>
      </c>
      <c r="N95" s="30"/>
    </row>
    <row r="96" spans="1:14" ht="60" x14ac:dyDescent="0.25">
      <c r="A96" s="19" t="s">
        <v>3918</v>
      </c>
      <c r="B96" s="17" t="s">
        <v>3917</v>
      </c>
      <c r="C96" s="20">
        <v>1</v>
      </c>
      <c r="D96" s="18">
        <v>34</v>
      </c>
      <c r="E96" s="20">
        <v>2350610</v>
      </c>
      <c r="F96" s="17" t="s">
        <v>91</v>
      </c>
      <c r="G96" s="19" t="s">
        <v>101</v>
      </c>
      <c r="H96" s="18">
        <v>19.646666666666668</v>
      </c>
      <c r="I96" s="17" t="s">
        <v>80</v>
      </c>
      <c r="J96" s="17" t="s">
        <v>293</v>
      </c>
      <c r="K96" s="17"/>
      <c r="L96" s="17"/>
      <c r="M96" s="16" t="str">
        <f>HYPERLINK("http://slimages.macys.com/is/image/MCY/17698530 ")</f>
        <v xml:space="preserve">http://slimages.macys.com/is/image/MCY/17698530 </v>
      </c>
      <c r="N96" s="30"/>
    </row>
    <row r="97" spans="1:14" ht="60" x14ac:dyDescent="0.25">
      <c r="A97" s="19" t="s">
        <v>3916</v>
      </c>
      <c r="B97" s="17" t="s">
        <v>3915</v>
      </c>
      <c r="C97" s="20">
        <v>1</v>
      </c>
      <c r="D97" s="18">
        <v>89</v>
      </c>
      <c r="E97" s="20" t="s">
        <v>3914</v>
      </c>
      <c r="F97" s="17" t="s">
        <v>345</v>
      </c>
      <c r="G97" s="19" t="s">
        <v>22</v>
      </c>
      <c r="H97" s="18">
        <v>19.64</v>
      </c>
      <c r="I97" s="17" t="s">
        <v>49</v>
      </c>
      <c r="J97" s="17" t="s">
        <v>48</v>
      </c>
      <c r="K97" s="17"/>
      <c r="L97" s="17"/>
      <c r="M97" s="16" t="str">
        <f>HYPERLINK("http://slimages.macys.com/is/image/MCY/19644624 ")</f>
        <v xml:space="preserve">http://slimages.macys.com/is/image/MCY/19644624 </v>
      </c>
      <c r="N97" s="30"/>
    </row>
    <row r="98" spans="1:14" ht="60" x14ac:dyDescent="0.25">
      <c r="A98" s="19" t="s">
        <v>3913</v>
      </c>
      <c r="B98" s="17" t="s">
        <v>3912</v>
      </c>
      <c r="C98" s="20">
        <v>1</v>
      </c>
      <c r="D98" s="18">
        <v>108</v>
      </c>
      <c r="E98" s="20" t="s">
        <v>3911</v>
      </c>
      <c r="F98" s="17" t="s">
        <v>3876</v>
      </c>
      <c r="G98" s="19" t="s">
        <v>116</v>
      </c>
      <c r="H98" s="18">
        <v>19.440000000000001</v>
      </c>
      <c r="I98" s="17" t="s">
        <v>115</v>
      </c>
      <c r="J98" s="17" t="s">
        <v>742</v>
      </c>
      <c r="K98" s="17" t="s">
        <v>389</v>
      </c>
      <c r="L98" s="17" t="s">
        <v>1359</v>
      </c>
      <c r="M98" s="16" t="str">
        <f>HYPERLINK("http://slimages.macys.com/is/image/MCY/14326436 ")</f>
        <v xml:space="preserve">http://slimages.macys.com/is/image/MCY/14326436 </v>
      </c>
      <c r="N98" s="30"/>
    </row>
    <row r="99" spans="1:14" ht="60" x14ac:dyDescent="0.25">
      <c r="A99" s="19" t="s">
        <v>3910</v>
      </c>
      <c r="B99" s="17" t="s">
        <v>3909</v>
      </c>
      <c r="C99" s="20">
        <v>2</v>
      </c>
      <c r="D99" s="18">
        <v>85</v>
      </c>
      <c r="E99" s="20" t="s">
        <v>1314</v>
      </c>
      <c r="F99" s="17" t="s">
        <v>562</v>
      </c>
      <c r="G99" s="19" t="s">
        <v>57</v>
      </c>
      <c r="H99" s="18">
        <v>19.333333333333332</v>
      </c>
      <c r="I99" s="17" t="s">
        <v>133</v>
      </c>
      <c r="J99" s="17" t="s">
        <v>833</v>
      </c>
      <c r="K99" s="17"/>
      <c r="L99" s="17"/>
      <c r="M99" s="16" t="str">
        <f>HYPERLINK("http://slimages.macys.com/is/image/MCY/19305509 ")</f>
        <v xml:space="preserve">http://slimages.macys.com/is/image/MCY/19305509 </v>
      </c>
      <c r="N99" s="30"/>
    </row>
    <row r="100" spans="1:14" ht="60" x14ac:dyDescent="0.25">
      <c r="A100" s="19" t="s">
        <v>3908</v>
      </c>
      <c r="B100" s="17" t="s">
        <v>3907</v>
      </c>
      <c r="C100" s="20">
        <v>1</v>
      </c>
      <c r="D100" s="18">
        <v>79</v>
      </c>
      <c r="E100" s="20" t="s">
        <v>3906</v>
      </c>
      <c r="F100" s="17"/>
      <c r="G100" s="19" t="s">
        <v>96</v>
      </c>
      <c r="H100" s="18">
        <v>19.226666666666667</v>
      </c>
      <c r="I100" s="17" t="s">
        <v>1363</v>
      </c>
      <c r="J100" s="17" t="s">
        <v>1362</v>
      </c>
      <c r="K100" s="17"/>
      <c r="L100" s="17"/>
      <c r="M100" s="16" t="str">
        <f>HYPERLINK("http://slimages.macys.com/is/image/MCY/19305186 ")</f>
        <v xml:space="preserve">http://slimages.macys.com/is/image/MCY/19305186 </v>
      </c>
      <c r="N100" s="30"/>
    </row>
    <row r="101" spans="1:14" ht="60" x14ac:dyDescent="0.25">
      <c r="A101" s="19" t="s">
        <v>3905</v>
      </c>
      <c r="B101" s="17" t="s">
        <v>3904</v>
      </c>
      <c r="C101" s="20">
        <v>1</v>
      </c>
      <c r="D101" s="18">
        <v>99</v>
      </c>
      <c r="E101" s="20">
        <v>10807560</v>
      </c>
      <c r="F101" s="17" t="s">
        <v>282</v>
      </c>
      <c r="G101" s="19" t="s">
        <v>69</v>
      </c>
      <c r="H101" s="18">
        <v>19.14</v>
      </c>
      <c r="I101" s="17" t="s">
        <v>120</v>
      </c>
      <c r="J101" s="17" t="s">
        <v>119</v>
      </c>
      <c r="K101" s="17"/>
      <c r="L101" s="17"/>
      <c r="M101" s="16" t="str">
        <f>HYPERLINK("http://slimages.macys.com/is/image/MCY/19878249 ")</f>
        <v xml:space="preserve">http://slimages.macys.com/is/image/MCY/19878249 </v>
      </c>
      <c r="N101" s="30"/>
    </row>
    <row r="102" spans="1:14" ht="60" x14ac:dyDescent="0.25">
      <c r="A102" s="19" t="s">
        <v>3903</v>
      </c>
      <c r="B102" s="17" t="s">
        <v>3902</v>
      </c>
      <c r="C102" s="20">
        <v>1</v>
      </c>
      <c r="D102" s="18">
        <v>99</v>
      </c>
      <c r="E102" s="20">
        <v>10807630</v>
      </c>
      <c r="F102" s="17" t="s">
        <v>578</v>
      </c>
      <c r="G102" s="19"/>
      <c r="H102" s="18">
        <v>19.14</v>
      </c>
      <c r="I102" s="17" t="s">
        <v>1307</v>
      </c>
      <c r="J102" s="17" t="s">
        <v>1306</v>
      </c>
      <c r="K102" s="17"/>
      <c r="L102" s="17"/>
      <c r="M102" s="16" t="str">
        <f>HYPERLINK("http://slimages.macys.com/is/image/MCY/19225139 ")</f>
        <v xml:space="preserve">http://slimages.macys.com/is/image/MCY/19225139 </v>
      </c>
      <c r="N102" s="30"/>
    </row>
    <row r="103" spans="1:14" ht="60" x14ac:dyDescent="0.25">
      <c r="A103" s="19" t="s">
        <v>3901</v>
      </c>
      <c r="B103" s="17" t="s">
        <v>3900</v>
      </c>
      <c r="C103" s="20">
        <v>1</v>
      </c>
      <c r="D103" s="18">
        <v>99</v>
      </c>
      <c r="E103" s="20">
        <v>10807630</v>
      </c>
      <c r="F103" s="17" t="s">
        <v>578</v>
      </c>
      <c r="G103" s="19" t="s">
        <v>351</v>
      </c>
      <c r="H103" s="18">
        <v>19.14</v>
      </c>
      <c r="I103" s="17" t="s">
        <v>1307</v>
      </c>
      <c r="J103" s="17" t="s">
        <v>1306</v>
      </c>
      <c r="K103" s="17"/>
      <c r="L103" s="17"/>
      <c r="M103" s="16" t="str">
        <f>HYPERLINK("http://slimages.macys.com/is/image/MCY/19225139 ")</f>
        <v xml:space="preserve">http://slimages.macys.com/is/image/MCY/19225139 </v>
      </c>
      <c r="N103" s="30"/>
    </row>
    <row r="104" spans="1:14" ht="60" x14ac:dyDescent="0.25">
      <c r="A104" s="19" t="s">
        <v>2869</v>
      </c>
      <c r="B104" s="17" t="s">
        <v>2868</v>
      </c>
      <c r="C104" s="20">
        <v>8</v>
      </c>
      <c r="D104" s="18">
        <v>89.5</v>
      </c>
      <c r="E104" s="20" t="s">
        <v>2865</v>
      </c>
      <c r="F104" s="17"/>
      <c r="G104" s="19" t="s">
        <v>69</v>
      </c>
      <c r="H104" s="18">
        <v>19</v>
      </c>
      <c r="I104" s="17" t="s">
        <v>80</v>
      </c>
      <c r="J104" s="17" t="s">
        <v>531</v>
      </c>
      <c r="K104" s="17"/>
      <c r="L104" s="17"/>
      <c r="M104" s="16" t="str">
        <f>HYPERLINK("http://slimages.macys.com/is/image/MCY/18371433 ")</f>
        <v xml:space="preserve">http://slimages.macys.com/is/image/MCY/18371433 </v>
      </c>
      <c r="N104" s="30"/>
    </row>
    <row r="105" spans="1:14" ht="60" x14ac:dyDescent="0.25">
      <c r="A105" s="19" t="s">
        <v>2867</v>
      </c>
      <c r="B105" s="17" t="s">
        <v>2866</v>
      </c>
      <c r="C105" s="20">
        <v>5</v>
      </c>
      <c r="D105" s="18">
        <v>89.5</v>
      </c>
      <c r="E105" s="20" t="s">
        <v>2865</v>
      </c>
      <c r="F105" s="17"/>
      <c r="G105" s="19" t="s">
        <v>74</v>
      </c>
      <c r="H105" s="18">
        <v>19</v>
      </c>
      <c r="I105" s="17" t="s">
        <v>80</v>
      </c>
      <c r="J105" s="17" t="s">
        <v>531</v>
      </c>
      <c r="K105" s="17"/>
      <c r="L105" s="17"/>
      <c r="M105" s="16" t="str">
        <f>HYPERLINK("http://slimages.macys.com/is/image/MCY/18371433 ")</f>
        <v xml:space="preserve">http://slimages.macys.com/is/image/MCY/18371433 </v>
      </c>
      <c r="N105" s="30"/>
    </row>
    <row r="106" spans="1:14" ht="60" x14ac:dyDescent="0.25">
      <c r="A106" s="19" t="s">
        <v>3899</v>
      </c>
      <c r="B106" s="17" t="s">
        <v>3898</v>
      </c>
      <c r="C106" s="20">
        <v>2</v>
      </c>
      <c r="D106" s="18">
        <v>89.5</v>
      </c>
      <c r="E106" s="20" t="s">
        <v>2865</v>
      </c>
      <c r="F106" s="17"/>
      <c r="G106" s="19" t="s">
        <v>62</v>
      </c>
      <c r="H106" s="18">
        <v>19</v>
      </c>
      <c r="I106" s="17" t="s">
        <v>80</v>
      </c>
      <c r="J106" s="17" t="s">
        <v>531</v>
      </c>
      <c r="K106" s="17"/>
      <c r="L106" s="17"/>
      <c r="M106" s="16" t="str">
        <f>HYPERLINK("http://slimages.macys.com/is/image/MCY/18371433 ")</f>
        <v xml:space="preserve">http://slimages.macys.com/is/image/MCY/18371433 </v>
      </c>
      <c r="N106" s="30"/>
    </row>
    <row r="107" spans="1:14" ht="60" x14ac:dyDescent="0.25">
      <c r="A107" s="19" t="s">
        <v>3897</v>
      </c>
      <c r="B107" s="17" t="s">
        <v>3896</v>
      </c>
      <c r="C107" s="20">
        <v>1</v>
      </c>
      <c r="D107" s="18">
        <v>89</v>
      </c>
      <c r="E107" s="20">
        <v>7069229</v>
      </c>
      <c r="F107" s="17" t="s">
        <v>91</v>
      </c>
      <c r="G107" s="19" t="s">
        <v>17</v>
      </c>
      <c r="H107" s="18">
        <v>18.986666666666668</v>
      </c>
      <c r="I107" s="17" t="s">
        <v>111</v>
      </c>
      <c r="J107" s="17" t="s">
        <v>110</v>
      </c>
      <c r="K107" s="17" t="s">
        <v>389</v>
      </c>
      <c r="L107" s="17" t="s">
        <v>2860</v>
      </c>
      <c r="M107" s="16" t="str">
        <f>HYPERLINK("http://slimages.macys.com/is/image/MCY/15239479 ")</f>
        <v xml:space="preserve">http://slimages.macys.com/is/image/MCY/15239479 </v>
      </c>
      <c r="N107" s="30"/>
    </row>
    <row r="108" spans="1:14" ht="60" x14ac:dyDescent="0.25">
      <c r="A108" s="19" t="s">
        <v>3895</v>
      </c>
      <c r="B108" s="17" t="s">
        <v>3894</v>
      </c>
      <c r="C108" s="20">
        <v>1</v>
      </c>
      <c r="D108" s="18">
        <v>99.5</v>
      </c>
      <c r="E108" s="20" t="s">
        <v>3893</v>
      </c>
      <c r="F108" s="17" t="s">
        <v>28</v>
      </c>
      <c r="G108" s="19" t="s">
        <v>351</v>
      </c>
      <c r="H108" s="18">
        <v>18.740000000000002</v>
      </c>
      <c r="I108" s="17" t="s">
        <v>1891</v>
      </c>
      <c r="J108" s="17" t="s">
        <v>67</v>
      </c>
      <c r="K108" s="17"/>
      <c r="L108" s="17"/>
      <c r="M108" s="16" t="str">
        <f>HYPERLINK("http://slimages.macys.com/is/image/MCY/18344417 ")</f>
        <v xml:space="preserve">http://slimages.macys.com/is/image/MCY/18344417 </v>
      </c>
      <c r="N108" s="30"/>
    </row>
    <row r="109" spans="1:14" ht="72" x14ac:dyDescent="0.25">
      <c r="A109" s="19" t="s">
        <v>3892</v>
      </c>
      <c r="B109" s="17" t="s">
        <v>3891</v>
      </c>
      <c r="C109" s="20">
        <v>1</v>
      </c>
      <c r="D109" s="18">
        <v>74.25</v>
      </c>
      <c r="E109" s="20">
        <v>10715517</v>
      </c>
      <c r="F109" s="17" t="s">
        <v>623</v>
      </c>
      <c r="G109" s="19" t="s">
        <v>644</v>
      </c>
      <c r="H109" s="18">
        <v>18.713333333333335</v>
      </c>
      <c r="I109" s="17" t="s">
        <v>33</v>
      </c>
      <c r="J109" s="17" t="s">
        <v>143</v>
      </c>
      <c r="K109" s="17" t="s">
        <v>389</v>
      </c>
      <c r="L109" s="17" t="s">
        <v>1154</v>
      </c>
      <c r="M109" s="16" t="str">
        <f>HYPERLINK("http://slimages.macys.com/is/image/MCY/11700436 ")</f>
        <v xml:space="preserve">http://slimages.macys.com/is/image/MCY/11700436 </v>
      </c>
      <c r="N109" s="30"/>
    </row>
    <row r="110" spans="1:14" ht="60" x14ac:dyDescent="0.25">
      <c r="A110" s="19" t="s">
        <v>3890</v>
      </c>
      <c r="B110" s="17" t="s">
        <v>3889</v>
      </c>
      <c r="C110" s="20">
        <v>3</v>
      </c>
      <c r="D110" s="18">
        <v>66.75</v>
      </c>
      <c r="E110" s="20">
        <v>10799066</v>
      </c>
      <c r="F110" s="17" t="s">
        <v>51</v>
      </c>
      <c r="G110" s="19" t="s">
        <v>351</v>
      </c>
      <c r="H110" s="18">
        <v>18.693333333333332</v>
      </c>
      <c r="I110" s="17" t="s">
        <v>358</v>
      </c>
      <c r="J110" s="17" t="s">
        <v>143</v>
      </c>
      <c r="K110" s="17"/>
      <c r="L110" s="17"/>
      <c r="M110" s="16" t="str">
        <f>HYPERLINK("http://slimages.macys.com/is/image/MCY/18475634 ")</f>
        <v xml:space="preserve">http://slimages.macys.com/is/image/MCY/18475634 </v>
      </c>
      <c r="N110" s="30"/>
    </row>
    <row r="111" spans="1:14" ht="60" x14ac:dyDescent="0.25">
      <c r="A111" s="19" t="s">
        <v>3888</v>
      </c>
      <c r="B111" s="17" t="s">
        <v>3887</v>
      </c>
      <c r="C111" s="20">
        <v>1</v>
      </c>
      <c r="D111" s="18">
        <v>74.25</v>
      </c>
      <c r="E111" s="20" t="s">
        <v>1296</v>
      </c>
      <c r="F111" s="17" t="s">
        <v>282</v>
      </c>
      <c r="G111" s="19" t="s">
        <v>1292</v>
      </c>
      <c r="H111" s="18">
        <v>18.686666666666667</v>
      </c>
      <c r="I111" s="17" t="s">
        <v>358</v>
      </c>
      <c r="J111" s="17" t="s">
        <v>32</v>
      </c>
      <c r="K111" s="17"/>
      <c r="L111" s="17"/>
      <c r="M111" s="16" t="str">
        <f>HYPERLINK("http://slimages.macys.com/is/image/MCY/19728327 ")</f>
        <v xml:space="preserve">http://slimages.macys.com/is/image/MCY/19728327 </v>
      </c>
      <c r="N111" s="30"/>
    </row>
    <row r="112" spans="1:14" ht="60" x14ac:dyDescent="0.25">
      <c r="A112" s="19" t="s">
        <v>3886</v>
      </c>
      <c r="B112" s="17" t="s">
        <v>3885</v>
      </c>
      <c r="C112" s="20">
        <v>1</v>
      </c>
      <c r="D112" s="18">
        <v>74.25</v>
      </c>
      <c r="E112" s="20" t="s">
        <v>2855</v>
      </c>
      <c r="F112" s="17" t="s">
        <v>282</v>
      </c>
      <c r="G112" s="19" t="s">
        <v>916</v>
      </c>
      <c r="H112" s="18">
        <v>18.686666666666667</v>
      </c>
      <c r="I112" s="17" t="s">
        <v>358</v>
      </c>
      <c r="J112" s="17" t="s">
        <v>32</v>
      </c>
      <c r="K112" s="17"/>
      <c r="L112" s="17"/>
      <c r="M112" s="16" t="str">
        <f>HYPERLINK("http://slimages.macys.com/is/image/MCY/18747202 ")</f>
        <v xml:space="preserve">http://slimages.macys.com/is/image/MCY/18747202 </v>
      </c>
      <c r="N112" s="30"/>
    </row>
    <row r="113" spans="1:14" ht="60" x14ac:dyDescent="0.25">
      <c r="A113" s="19" t="s">
        <v>3884</v>
      </c>
      <c r="B113" s="17" t="s">
        <v>3883</v>
      </c>
      <c r="C113" s="20">
        <v>2</v>
      </c>
      <c r="D113" s="18">
        <v>74.25</v>
      </c>
      <c r="E113" s="20" t="s">
        <v>1296</v>
      </c>
      <c r="F113" s="17" t="s">
        <v>282</v>
      </c>
      <c r="G113" s="19" t="s">
        <v>880</v>
      </c>
      <c r="H113" s="18">
        <v>18.686666666666667</v>
      </c>
      <c r="I113" s="17" t="s">
        <v>358</v>
      </c>
      <c r="J113" s="17" t="s">
        <v>32</v>
      </c>
      <c r="K113" s="17"/>
      <c r="L113" s="17"/>
      <c r="M113" s="16" t="str">
        <f>HYPERLINK("http://slimages.macys.com/is/image/MCY/19728327 ")</f>
        <v xml:space="preserve">http://slimages.macys.com/is/image/MCY/19728327 </v>
      </c>
      <c r="N113" s="30"/>
    </row>
    <row r="114" spans="1:14" ht="60" x14ac:dyDescent="0.25">
      <c r="A114" s="19" t="s">
        <v>2857</v>
      </c>
      <c r="B114" s="17" t="s">
        <v>2856</v>
      </c>
      <c r="C114" s="20">
        <v>1</v>
      </c>
      <c r="D114" s="18">
        <v>74.25</v>
      </c>
      <c r="E114" s="20" t="s">
        <v>2855</v>
      </c>
      <c r="F114" s="17" t="s">
        <v>282</v>
      </c>
      <c r="G114" s="19" t="s">
        <v>1445</v>
      </c>
      <c r="H114" s="18">
        <v>18.686666666666667</v>
      </c>
      <c r="I114" s="17" t="s">
        <v>358</v>
      </c>
      <c r="J114" s="17" t="s">
        <v>32</v>
      </c>
      <c r="K114" s="17"/>
      <c r="L114" s="17"/>
      <c r="M114" s="16" t="str">
        <f>HYPERLINK("http://slimages.macys.com/is/image/MCY/18747202 ")</f>
        <v xml:space="preserve">http://slimages.macys.com/is/image/MCY/18747202 </v>
      </c>
      <c r="N114" s="30"/>
    </row>
    <row r="115" spans="1:14" ht="60" x14ac:dyDescent="0.25">
      <c r="A115" s="19" t="s">
        <v>3882</v>
      </c>
      <c r="B115" s="17" t="s">
        <v>2856</v>
      </c>
      <c r="C115" s="20">
        <v>2</v>
      </c>
      <c r="D115" s="18">
        <v>74.25</v>
      </c>
      <c r="E115" s="20" t="s">
        <v>1296</v>
      </c>
      <c r="F115" s="17" t="s">
        <v>282</v>
      </c>
      <c r="G115" s="19" t="s">
        <v>1445</v>
      </c>
      <c r="H115" s="18">
        <v>18.686666666666667</v>
      </c>
      <c r="I115" s="17" t="s">
        <v>358</v>
      </c>
      <c r="J115" s="17" t="s">
        <v>32</v>
      </c>
      <c r="K115" s="17"/>
      <c r="L115" s="17"/>
      <c r="M115" s="16" t="str">
        <f>HYPERLINK("http://slimages.macys.com/is/image/MCY/19728327 ")</f>
        <v xml:space="preserve">http://slimages.macys.com/is/image/MCY/19728327 </v>
      </c>
      <c r="N115" s="30"/>
    </row>
    <row r="116" spans="1:14" ht="72" x14ac:dyDescent="0.25">
      <c r="A116" s="19" t="s">
        <v>3881</v>
      </c>
      <c r="B116" s="17" t="s">
        <v>3880</v>
      </c>
      <c r="C116" s="20">
        <v>1</v>
      </c>
      <c r="D116" s="18">
        <v>89</v>
      </c>
      <c r="E116" s="20" t="s">
        <v>3877</v>
      </c>
      <c r="F116" s="17" t="s">
        <v>3876</v>
      </c>
      <c r="G116" s="19" t="s">
        <v>1292</v>
      </c>
      <c r="H116" s="18">
        <v>18.666666666666668</v>
      </c>
      <c r="I116" s="17" t="s">
        <v>550</v>
      </c>
      <c r="J116" s="17" t="s">
        <v>1448</v>
      </c>
      <c r="K116" s="17" t="s">
        <v>389</v>
      </c>
      <c r="L116" s="17" t="s">
        <v>548</v>
      </c>
      <c r="M116" s="16" t="str">
        <f>HYPERLINK("http://slimages.macys.com/is/image/MCY/11638680 ")</f>
        <v xml:space="preserve">http://slimages.macys.com/is/image/MCY/11638680 </v>
      </c>
      <c r="N116" s="30"/>
    </row>
    <row r="117" spans="1:14" ht="60" x14ac:dyDescent="0.25">
      <c r="A117" s="19" t="s">
        <v>1288</v>
      </c>
      <c r="B117" s="17" t="s">
        <v>1287</v>
      </c>
      <c r="C117" s="20">
        <v>1</v>
      </c>
      <c r="D117" s="18">
        <v>68</v>
      </c>
      <c r="E117" s="20" t="s">
        <v>1282</v>
      </c>
      <c r="F117" s="17" t="s">
        <v>23</v>
      </c>
      <c r="G117" s="19" t="s">
        <v>62</v>
      </c>
      <c r="H117" s="18">
        <v>18.666666666666668</v>
      </c>
      <c r="I117" s="17" t="s">
        <v>133</v>
      </c>
      <c r="J117" s="17" t="s">
        <v>833</v>
      </c>
      <c r="K117" s="17"/>
      <c r="L117" s="17"/>
      <c r="M117" s="16" t="str">
        <f>HYPERLINK("http://slimages.macys.com/is/image/MCY/19304674 ")</f>
        <v xml:space="preserve">http://slimages.macys.com/is/image/MCY/19304674 </v>
      </c>
      <c r="N117" s="30"/>
    </row>
    <row r="118" spans="1:14" ht="72" x14ac:dyDescent="0.25">
      <c r="A118" s="19" t="s">
        <v>3879</v>
      </c>
      <c r="B118" s="17" t="s">
        <v>3878</v>
      </c>
      <c r="C118" s="20">
        <v>1</v>
      </c>
      <c r="D118" s="18">
        <v>89</v>
      </c>
      <c r="E118" s="20" t="s">
        <v>3877</v>
      </c>
      <c r="F118" s="17" t="s">
        <v>3876</v>
      </c>
      <c r="G118" s="19" t="s">
        <v>916</v>
      </c>
      <c r="H118" s="18">
        <v>18.666666666666668</v>
      </c>
      <c r="I118" s="17" t="s">
        <v>550</v>
      </c>
      <c r="J118" s="17" t="s">
        <v>1448</v>
      </c>
      <c r="K118" s="17" t="s">
        <v>389</v>
      </c>
      <c r="L118" s="17" t="s">
        <v>548</v>
      </c>
      <c r="M118" s="16" t="str">
        <f>HYPERLINK("http://slimages.macys.com/is/image/MCY/11638680 ")</f>
        <v xml:space="preserve">http://slimages.macys.com/is/image/MCY/11638680 </v>
      </c>
      <c r="N118" s="30"/>
    </row>
    <row r="119" spans="1:14" ht="60" x14ac:dyDescent="0.25">
      <c r="A119" s="19" t="s">
        <v>3875</v>
      </c>
      <c r="B119" s="17" t="s">
        <v>3874</v>
      </c>
      <c r="C119" s="20">
        <v>1</v>
      </c>
      <c r="D119" s="18">
        <v>99</v>
      </c>
      <c r="E119" s="20">
        <v>10807642</v>
      </c>
      <c r="F119" s="17" t="s">
        <v>237</v>
      </c>
      <c r="G119" s="19" t="s">
        <v>351</v>
      </c>
      <c r="H119" s="18">
        <v>18.48</v>
      </c>
      <c r="I119" s="17" t="s">
        <v>1307</v>
      </c>
      <c r="J119" s="17" t="s">
        <v>1306</v>
      </c>
      <c r="K119" s="17"/>
      <c r="L119" s="17"/>
      <c r="M119" s="16" t="str">
        <f>HYPERLINK("http://slimages.macys.com/is/image/MCY/19531402 ")</f>
        <v xml:space="preserve">http://slimages.macys.com/is/image/MCY/19531402 </v>
      </c>
      <c r="N119" s="30"/>
    </row>
    <row r="120" spans="1:14" ht="60" x14ac:dyDescent="0.25">
      <c r="A120" s="19" t="s">
        <v>3873</v>
      </c>
      <c r="B120" s="17" t="s">
        <v>3872</v>
      </c>
      <c r="C120" s="20">
        <v>2</v>
      </c>
      <c r="D120" s="18">
        <v>99</v>
      </c>
      <c r="E120" s="20" t="s">
        <v>3871</v>
      </c>
      <c r="F120" s="17" t="s">
        <v>1382</v>
      </c>
      <c r="G120" s="19" t="s">
        <v>74</v>
      </c>
      <c r="H120" s="18">
        <v>18.28</v>
      </c>
      <c r="I120" s="17" t="s">
        <v>405</v>
      </c>
      <c r="J120" s="17" t="s">
        <v>404</v>
      </c>
      <c r="K120" s="17"/>
      <c r="L120" s="17"/>
      <c r="M120" s="16" t="str">
        <f>HYPERLINK("http://slimages.macys.com/is/image/MCY/19792066 ")</f>
        <v xml:space="preserve">http://slimages.macys.com/is/image/MCY/19792066 </v>
      </c>
      <c r="N120" s="30"/>
    </row>
    <row r="121" spans="1:14" ht="60" x14ac:dyDescent="0.25">
      <c r="A121" s="19" t="s">
        <v>3870</v>
      </c>
      <c r="B121" s="17" t="s">
        <v>3869</v>
      </c>
      <c r="C121" s="20">
        <v>1</v>
      </c>
      <c r="D121" s="18">
        <v>89</v>
      </c>
      <c r="E121" s="20" t="s">
        <v>3868</v>
      </c>
      <c r="F121" s="17" t="s">
        <v>734</v>
      </c>
      <c r="G121" s="19" t="s">
        <v>62</v>
      </c>
      <c r="H121" s="18">
        <v>18.28</v>
      </c>
      <c r="I121" s="17" t="s">
        <v>405</v>
      </c>
      <c r="J121" s="17" t="s">
        <v>404</v>
      </c>
      <c r="K121" s="17"/>
      <c r="L121" s="17"/>
      <c r="M121" s="16" t="str">
        <f>HYPERLINK("http://slimages.macys.com/is/image/MCY/18525536 ")</f>
        <v xml:space="preserve">http://slimages.macys.com/is/image/MCY/18525536 </v>
      </c>
      <c r="N121" s="30"/>
    </row>
    <row r="122" spans="1:14" ht="60" x14ac:dyDescent="0.25">
      <c r="A122" s="19" t="s">
        <v>1276</v>
      </c>
      <c r="B122" s="17" t="s">
        <v>1275</v>
      </c>
      <c r="C122" s="20">
        <v>1</v>
      </c>
      <c r="D122" s="18">
        <v>89.5</v>
      </c>
      <c r="E122" s="20" t="s">
        <v>1274</v>
      </c>
      <c r="F122" s="17" t="s">
        <v>91</v>
      </c>
      <c r="G122" s="19" t="s">
        <v>74</v>
      </c>
      <c r="H122" s="18">
        <v>18.033333333333335</v>
      </c>
      <c r="I122" s="17" t="s">
        <v>106</v>
      </c>
      <c r="J122" s="17" t="s">
        <v>105</v>
      </c>
      <c r="K122" s="17"/>
      <c r="L122" s="17"/>
      <c r="M122" s="16" t="str">
        <f>HYPERLINK("http://slimages.macys.com/is/image/MCY/19900024 ")</f>
        <v xml:space="preserve">http://slimages.macys.com/is/image/MCY/19900024 </v>
      </c>
      <c r="N122" s="30"/>
    </row>
    <row r="123" spans="1:14" ht="60" x14ac:dyDescent="0.25">
      <c r="A123" s="19" t="s">
        <v>3867</v>
      </c>
      <c r="B123" s="17" t="s">
        <v>3866</v>
      </c>
      <c r="C123" s="20">
        <v>1</v>
      </c>
      <c r="D123" s="18">
        <v>89.5</v>
      </c>
      <c r="E123" s="20" t="s">
        <v>1274</v>
      </c>
      <c r="F123" s="17" t="s">
        <v>91</v>
      </c>
      <c r="G123" s="19" t="s">
        <v>69</v>
      </c>
      <c r="H123" s="18">
        <v>18.033333333333335</v>
      </c>
      <c r="I123" s="17" t="s">
        <v>106</v>
      </c>
      <c r="J123" s="17" t="s">
        <v>105</v>
      </c>
      <c r="K123" s="17"/>
      <c r="L123" s="17"/>
      <c r="M123" s="16" t="str">
        <f>HYPERLINK("http://slimages.macys.com/is/image/MCY/19900024 ")</f>
        <v xml:space="preserve">http://slimages.macys.com/is/image/MCY/19900024 </v>
      </c>
      <c r="N123" s="30"/>
    </row>
    <row r="124" spans="1:14" ht="60" x14ac:dyDescent="0.25">
      <c r="A124" s="19" t="s">
        <v>3865</v>
      </c>
      <c r="B124" s="17" t="s">
        <v>3864</v>
      </c>
      <c r="C124" s="20">
        <v>1</v>
      </c>
      <c r="D124" s="18">
        <v>99</v>
      </c>
      <c r="E124" s="20">
        <v>10798608</v>
      </c>
      <c r="F124" s="17" t="s">
        <v>35</v>
      </c>
      <c r="G124" s="19" t="s">
        <v>658</v>
      </c>
      <c r="H124" s="18">
        <v>17.82</v>
      </c>
      <c r="I124" s="17" t="s">
        <v>115</v>
      </c>
      <c r="J124" s="17" t="s">
        <v>1265</v>
      </c>
      <c r="K124" s="17"/>
      <c r="L124" s="17"/>
      <c r="M124" s="16" t="str">
        <f>HYPERLINK("http://slimages.macys.com/is/image/MCY/18545100 ")</f>
        <v xml:space="preserve">http://slimages.macys.com/is/image/MCY/18545100 </v>
      </c>
      <c r="N124" s="30"/>
    </row>
    <row r="125" spans="1:14" ht="60" x14ac:dyDescent="0.25">
      <c r="A125" s="19" t="s">
        <v>3863</v>
      </c>
      <c r="B125" s="17" t="s">
        <v>3862</v>
      </c>
      <c r="C125" s="20">
        <v>1</v>
      </c>
      <c r="D125" s="18">
        <v>89</v>
      </c>
      <c r="E125" s="20">
        <v>10811406</v>
      </c>
      <c r="F125" s="17" t="s">
        <v>555</v>
      </c>
      <c r="G125" s="19" t="s">
        <v>1292</v>
      </c>
      <c r="H125" s="18">
        <v>17.8</v>
      </c>
      <c r="I125" s="17" t="s">
        <v>358</v>
      </c>
      <c r="J125" s="17" t="s">
        <v>554</v>
      </c>
      <c r="K125" s="17"/>
      <c r="L125" s="17"/>
      <c r="M125" s="16" t="str">
        <f>HYPERLINK("http://slimages.macys.com/is/image/MCY/19634003 ")</f>
        <v xml:space="preserve">http://slimages.macys.com/is/image/MCY/19634003 </v>
      </c>
      <c r="N125" s="30"/>
    </row>
    <row r="126" spans="1:14" ht="60" x14ac:dyDescent="0.25">
      <c r="A126" s="19" t="s">
        <v>1271</v>
      </c>
      <c r="B126" s="17" t="s">
        <v>1270</v>
      </c>
      <c r="C126" s="20">
        <v>1</v>
      </c>
      <c r="D126" s="18">
        <v>89</v>
      </c>
      <c r="E126" s="20">
        <v>10817046</v>
      </c>
      <c r="F126" s="17" t="s">
        <v>575</v>
      </c>
      <c r="G126" s="19" t="s">
        <v>351</v>
      </c>
      <c r="H126" s="18">
        <v>17.8</v>
      </c>
      <c r="I126" s="17" t="s">
        <v>358</v>
      </c>
      <c r="J126" s="17" t="s">
        <v>554</v>
      </c>
      <c r="K126" s="17"/>
      <c r="L126" s="17"/>
      <c r="M126" s="16" t="str">
        <f>HYPERLINK("http://slimages.macys.com/is/image/MCY/19382277 ")</f>
        <v xml:space="preserve">http://slimages.macys.com/is/image/MCY/19382277 </v>
      </c>
      <c r="N126" s="30"/>
    </row>
    <row r="127" spans="1:14" ht="60" x14ac:dyDescent="0.25">
      <c r="A127" s="19" t="s">
        <v>1269</v>
      </c>
      <c r="B127" s="17" t="s">
        <v>1268</v>
      </c>
      <c r="C127" s="20">
        <v>2</v>
      </c>
      <c r="D127" s="18">
        <v>89</v>
      </c>
      <c r="E127" s="20">
        <v>10817046</v>
      </c>
      <c r="F127" s="17" t="s">
        <v>575</v>
      </c>
      <c r="G127" s="19" t="s">
        <v>139</v>
      </c>
      <c r="H127" s="18">
        <v>17.8</v>
      </c>
      <c r="I127" s="17" t="s">
        <v>358</v>
      </c>
      <c r="J127" s="17" t="s">
        <v>554</v>
      </c>
      <c r="K127" s="17"/>
      <c r="L127" s="17"/>
      <c r="M127" s="16" t="str">
        <f>HYPERLINK("http://slimages.macys.com/is/image/MCY/19382277 ")</f>
        <v xml:space="preserve">http://slimages.macys.com/is/image/MCY/19382277 </v>
      </c>
      <c r="N127" s="30"/>
    </row>
    <row r="128" spans="1:14" ht="60" x14ac:dyDescent="0.25">
      <c r="A128" s="19" t="s">
        <v>3861</v>
      </c>
      <c r="B128" s="17" t="s">
        <v>3860</v>
      </c>
      <c r="C128" s="20">
        <v>1</v>
      </c>
      <c r="D128" s="18">
        <v>89</v>
      </c>
      <c r="E128" s="20">
        <v>10811406</v>
      </c>
      <c r="F128" s="17" t="s">
        <v>555</v>
      </c>
      <c r="G128" s="19" t="s">
        <v>880</v>
      </c>
      <c r="H128" s="18">
        <v>17.8</v>
      </c>
      <c r="I128" s="17" t="s">
        <v>358</v>
      </c>
      <c r="J128" s="17" t="s">
        <v>554</v>
      </c>
      <c r="K128" s="17"/>
      <c r="L128" s="17"/>
      <c r="M128" s="16" t="str">
        <f>HYPERLINK("http://slimages.macys.com/is/image/MCY/19634003 ")</f>
        <v xml:space="preserve">http://slimages.macys.com/is/image/MCY/19634003 </v>
      </c>
      <c r="N128" s="30"/>
    </row>
    <row r="129" spans="1:14" ht="60" x14ac:dyDescent="0.25">
      <c r="A129" s="19" t="s">
        <v>1273</v>
      </c>
      <c r="B129" s="17" t="s">
        <v>1272</v>
      </c>
      <c r="C129" s="20">
        <v>2</v>
      </c>
      <c r="D129" s="18">
        <v>89</v>
      </c>
      <c r="E129" s="20">
        <v>10817046</v>
      </c>
      <c r="F129" s="17" t="s">
        <v>575</v>
      </c>
      <c r="G129" s="19" t="s">
        <v>271</v>
      </c>
      <c r="H129" s="18">
        <v>17.8</v>
      </c>
      <c r="I129" s="17" t="s">
        <v>358</v>
      </c>
      <c r="J129" s="17" t="s">
        <v>554</v>
      </c>
      <c r="K129" s="17"/>
      <c r="L129" s="17"/>
      <c r="M129" s="16" t="str">
        <f>HYPERLINK("http://slimages.macys.com/is/image/MCY/19382277 ")</f>
        <v xml:space="preserve">http://slimages.macys.com/is/image/MCY/19382277 </v>
      </c>
      <c r="N129" s="30"/>
    </row>
    <row r="130" spans="1:14" ht="60" x14ac:dyDescent="0.25">
      <c r="A130" s="19" t="s">
        <v>3859</v>
      </c>
      <c r="B130" s="17" t="s">
        <v>3858</v>
      </c>
      <c r="C130" s="20">
        <v>1</v>
      </c>
      <c r="D130" s="18">
        <v>79</v>
      </c>
      <c r="E130" s="20" t="s">
        <v>2017</v>
      </c>
      <c r="F130" s="17"/>
      <c r="G130" s="19"/>
      <c r="H130" s="18">
        <v>17.433333333333337</v>
      </c>
      <c r="I130" s="17" t="s">
        <v>49</v>
      </c>
      <c r="J130" s="17" t="s">
        <v>48</v>
      </c>
      <c r="K130" s="17"/>
      <c r="L130" s="17"/>
      <c r="M130" s="16" t="str">
        <f>HYPERLINK("http://slimages.macys.com/is/image/MCY/19287536 ")</f>
        <v xml:space="preserve">http://slimages.macys.com/is/image/MCY/19287536 </v>
      </c>
      <c r="N130" s="30"/>
    </row>
    <row r="131" spans="1:14" ht="60" x14ac:dyDescent="0.25">
      <c r="A131" s="19" t="s">
        <v>3857</v>
      </c>
      <c r="B131" s="17" t="s">
        <v>3856</v>
      </c>
      <c r="C131" s="20">
        <v>1</v>
      </c>
      <c r="D131" s="18">
        <v>79</v>
      </c>
      <c r="E131" s="20" t="s">
        <v>3855</v>
      </c>
      <c r="F131" s="17" t="s">
        <v>345</v>
      </c>
      <c r="G131" s="19" t="s">
        <v>101</v>
      </c>
      <c r="H131" s="18">
        <v>17.433333333333337</v>
      </c>
      <c r="I131" s="17" t="s">
        <v>49</v>
      </c>
      <c r="J131" s="17" t="s">
        <v>48</v>
      </c>
      <c r="K131" s="17"/>
      <c r="L131" s="17"/>
      <c r="M131" s="16" t="str">
        <f>HYPERLINK("http://slimages.macys.com/is/image/MCY/19567956 ")</f>
        <v xml:space="preserve">http://slimages.macys.com/is/image/MCY/19567956 </v>
      </c>
      <c r="N131" s="30"/>
    </row>
    <row r="132" spans="1:14" ht="60" x14ac:dyDescent="0.25">
      <c r="A132" s="19" t="s">
        <v>3854</v>
      </c>
      <c r="B132" s="17" t="s">
        <v>3853</v>
      </c>
      <c r="C132" s="20">
        <v>1</v>
      </c>
      <c r="D132" s="18">
        <v>79</v>
      </c>
      <c r="E132" s="20" t="s">
        <v>3852</v>
      </c>
      <c r="F132" s="17" t="s">
        <v>345</v>
      </c>
      <c r="G132" s="19" t="s">
        <v>50</v>
      </c>
      <c r="H132" s="18">
        <v>17.433333333333337</v>
      </c>
      <c r="I132" s="17" t="s">
        <v>49</v>
      </c>
      <c r="J132" s="17" t="s">
        <v>48</v>
      </c>
      <c r="K132" s="17"/>
      <c r="L132" s="17"/>
      <c r="M132" s="16" t="str">
        <f>HYPERLINK("http://slimages.macys.com/is/image/MCY/19644666 ")</f>
        <v xml:space="preserve">http://slimages.macys.com/is/image/MCY/19644666 </v>
      </c>
      <c r="N132" s="30"/>
    </row>
    <row r="133" spans="1:14" ht="60" x14ac:dyDescent="0.25">
      <c r="A133" s="19" t="s">
        <v>3851</v>
      </c>
      <c r="B133" s="17" t="s">
        <v>3850</v>
      </c>
      <c r="C133" s="20">
        <v>1</v>
      </c>
      <c r="D133" s="18">
        <v>79</v>
      </c>
      <c r="E133" s="20" t="s">
        <v>601</v>
      </c>
      <c r="F133" s="17" t="s">
        <v>282</v>
      </c>
      <c r="G133" s="19"/>
      <c r="H133" s="18">
        <v>17.433333333333337</v>
      </c>
      <c r="I133" s="17" t="s">
        <v>49</v>
      </c>
      <c r="J133" s="17" t="s">
        <v>48</v>
      </c>
      <c r="K133" s="17"/>
      <c r="L133" s="17"/>
      <c r="M133" s="16" t="str">
        <f>HYPERLINK("http://slimages.macys.com/is/image/MCY/19347618 ")</f>
        <v xml:space="preserve">http://slimages.macys.com/is/image/MCY/19347618 </v>
      </c>
      <c r="N133" s="30"/>
    </row>
    <row r="134" spans="1:14" ht="60" x14ac:dyDescent="0.25">
      <c r="A134" s="19" t="s">
        <v>3849</v>
      </c>
      <c r="B134" s="17" t="s">
        <v>3848</v>
      </c>
      <c r="C134" s="20">
        <v>1</v>
      </c>
      <c r="D134" s="18">
        <v>79</v>
      </c>
      <c r="E134" s="20" t="s">
        <v>2834</v>
      </c>
      <c r="F134" s="17" t="s">
        <v>345</v>
      </c>
      <c r="G134" s="19" t="s">
        <v>22</v>
      </c>
      <c r="H134" s="18">
        <v>17.433333333333337</v>
      </c>
      <c r="I134" s="17" t="s">
        <v>49</v>
      </c>
      <c r="J134" s="17" t="s">
        <v>48</v>
      </c>
      <c r="K134" s="17"/>
      <c r="L134" s="17"/>
      <c r="M134" s="16" t="str">
        <f>HYPERLINK("http://slimages.macys.com/is/image/MCY/19136704 ")</f>
        <v xml:space="preserve">http://slimages.macys.com/is/image/MCY/19136704 </v>
      </c>
      <c r="N134" s="30"/>
    </row>
    <row r="135" spans="1:14" ht="60" x14ac:dyDescent="0.25">
      <c r="A135" s="19" t="s">
        <v>3847</v>
      </c>
      <c r="B135" s="17" t="s">
        <v>3846</v>
      </c>
      <c r="C135" s="20">
        <v>1</v>
      </c>
      <c r="D135" s="18">
        <v>109</v>
      </c>
      <c r="E135" s="20" t="s">
        <v>3845</v>
      </c>
      <c r="F135" s="17" t="s">
        <v>58</v>
      </c>
      <c r="G135" s="19" t="s">
        <v>3844</v>
      </c>
      <c r="H135" s="18">
        <v>17.333333333333336</v>
      </c>
      <c r="I135" s="17" t="s">
        <v>115</v>
      </c>
      <c r="J135" s="17" t="s">
        <v>3843</v>
      </c>
      <c r="K135" s="17" t="s">
        <v>389</v>
      </c>
      <c r="L135" s="17" t="s">
        <v>3842</v>
      </c>
      <c r="M135" s="16" t="str">
        <f>HYPERLINK("http://slimages.macys.com/is/image/MCY/9699299 ")</f>
        <v xml:space="preserve">http://slimages.macys.com/is/image/MCY/9699299 </v>
      </c>
      <c r="N135" s="30"/>
    </row>
    <row r="136" spans="1:14" ht="60" x14ac:dyDescent="0.25">
      <c r="A136" s="19" t="s">
        <v>3841</v>
      </c>
      <c r="B136" s="17" t="s">
        <v>3840</v>
      </c>
      <c r="C136" s="20">
        <v>1</v>
      </c>
      <c r="D136" s="18">
        <v>69.5</v>
      </c>
      <c r="E136" s="20">
        <v>200672214006</v>
      </c>
      <c r="F136" s="17" t="s">
        <v>23</v>
      </c>
      <c r="G136" s="19" t="s">
        <v>62</v>
      </c>
      <c r="H136" s="18">
        <v>17.146666666666668</v>
      </c>
      <c r="I136" s="17" t="s">
        <v>3839</v>
      </c>
      <c r="J136" s="17" t="s">
        <v>3838</v>
      </c>
      <c r="K136" s="17" t="s">
        <v>389</v>
      </c>
      <c r="L136" s="17" t="s">
        <v>1804</v>
      </c>
      <c r="M136" s="16" t="str">
        <f>HYPERLINK("http://slimages.macys.com/is/image/MCY/8793030 ")</f>
        <v xml:space="preserve">http://slimages.macys.com/is/image/MCY/8793030 </v>
      </c>
      <c r="N136" s="30"/>
    </row>
    <row r="137" spans="1:14" ht="60" x14ac:dyDescent="0.25">
      <c r="A137" s="19" t="s">
        <v>3837</v>
      </c>
      <c r="B137" s="17" t="s">
        <v>3836</v>
      </c>
      <c r="C137" s="20">
        <v>1</v>
      </c>
      <c r="D137" s="18">
        <v>89.5</v>
      </c>
      <c r="E137" s="20" t="s">
        <v>3835</v>
      </c>
      <c r="F137" s="17" t="s">
        <v>23</v>
      </c>
      <c r="G137" s="19" t="s">
        <v>351</v>
      </c>
      <c r="H137" s="18">
        <v>17.006666666666668</v>
      </c>
      <c r="I137" s="17" t="s">
        <v>540</v>
      </c>
      <c r="J137" s="17" t="s">
        <v>105</v>
      </c>
      <c r="K137" s="17"/>
      <c r="L137" s="17"/>
      <c r="M137" s="16" t="str">
        <f>HYPERLINK("http://slimages.macys.com/is/image/MCY/18734797 ")</f>
        <v xml:space="preserve">http://slimages.macys.com/is/image/MCY/18734797 </v>
      </c>
      <c r="N137" s="30"/>
    </row>
    <row r="138" spans="1:14" ht="60" x14ac:dyDescent="0.25">
      <c r="A138" s="19" t="s">
        <v>3834</v>
      </c>
      <c r="B138" s="17" t="s">
        <v>3833</v>
      </c>
      <c r="C138" s="20">
        <v>1</v>
      </c>
      <c r="D138" s="18">
        <v>89.5</v>
      </c>
      <c r="E138" s="20" t="s">
        <v>3832</v>
      </c>
      <c r="F138" s="17" t="s">
        <v>23</v>
      </c>
      <c r="G138" s="19" t="s">
        <v>1191</v>
      </c>
      <c r="H138" s="18">
        <v>17.006666666666668</v>
      </c>
      <c r="I138" s="17" t="s">
        <v>540</v>
      </c>
      <c r="J138" s="17" t="s">
        <v>105</v>
      </c>
      <c r="K138" s="17"/>
      <c r="L138" s="17"/>
      <c r="M138" s="16" t="str">
        <f>HYPERLINK("http://slimages.macys.com/is/image/MCY/18438641 ")</f>
        <v xml:space="preserve">http://slimages.macys.com/is/image/MCY/18438641 </v>
      </c>
      <c r="N138" s="30"/>
    </row>
    <row r="139" spans="1:14" ht="60" x14ac:dyDescent="0.25">
      <c r="A139" s="19" t="s">
        <v>3831</v>
      </c>
      <c r="B139" s="17" t="s">
        <v>3830</v>
      </c>
      <c r="C139" s="20">
        <v>1</v>
      </c>
      <c r="D139" s="18">
        <v>79</v>
      </c>
      <c r="E139" s="20">
        <v>7020016</v>
      </c>
      <c r="F139" s="17" t="s">
        <v>91</v>
      </c>
      <c r="G139" s="19" t="s">
        <v>101</v>
      </c>
      <c r="H139" s="18">
        <v>16.853333333333335</v>
      </c>
      <c r="I139" s="17" t="s">
        <v>111</v>
      </c>
      <c r="J139" s="17" t="s">
        <v>110</v>
      </c>
      <c r="K139" s="17" t="s">
        <v>389</v>
      </c>
      <c r="L139" s="17" t="s">
        <v>662</v>
      </c>
      <c r="M139" s="16" t="str">
        <f>HYPERLINK("http://slimages.macys.com/is/image/MCY/16385828 ")</f>
        <v xml:space="preserve">http://slimages.macys.com/is/image/MCY/16385828 </v>
      </c>
      <c r="N139" s="30"/>
    </row>
    <row r="140" spans="1:14" ht="60" x14ac:dyDescent="0.25">
      <c r="A140" s="19" t="s">
        <v>3829</v>
      </c>
      <c r="B140" s="17" t="s">
        <v>3828</v>
      </c>
      <c r="C140" s="20">
        <v>1</v>
      </c>
      <c r="D140" s="18">
        <v>89.5</v>
      </c>
      <c r="E140" s="20" t="s">
        <v>2822</v>
      </c>
      <c r="F140" s="17" t="s">
        <v>28</v>
      </c>
      <c r="G140" s="19" t="s">
        <v>351</v>
      </c>
      <c r="H140" s="18">
        <v>16.853333333333335</v>
      </c>
      <c r="I140" s="17" t="s">
        <v>1891</v>
      </c>
      <c r="J140" s="17" t="s">
        <v>67</v>
      </c>
      <c r="K140" s="17"/>
      <c r="L140" s="17"/>
      <c r="M140" s="16" t="str">
        <f>HYPERLINK("http://slimages.macys.com/is/image/MCY/18981155 ")</f>
        <v xml:space="preserve">http://slimages.macys.com/is/image/MCY/18981155 </v>
      </c>
      <c r="N140" s="30"/>
    </row>
    <row r="141" spans="1:14" ht="60" x14ac:dyDescent="0.25">
      <c r="A141" s="19" t="s">
        <v>2824</v>
      </c>
      <c r="B141" s="17" t="s">
        <v>2823</v>
      </c>
      <c r="C141" s="20">
        <v>1</v>
      </c>
      <c r="D141" s="18">
        <v>89.5</v>
      </c>
      <c r="E141" s="20" t="s">
        <v>2822</v>
      </c>
      <c r="F141" s="17" t="s">
        <v>28</v>
      </c>
      <c r="G141" s="19" t="s">
        <v>271</v>
      </c>
      <c r="H141" s="18">
        <v>16.853333333333335</v>
      </c>
      <c r="I141" s="17" t="s">
        <v>1891</v>
      </c>
      <c r="J141" s="17" t="s">
        <v>67</v>
      </c>
      <c r="K141" s="17"/>
      <c r="L141" s="17"/>
      <c r="M141" s="16" t="str">
        <f>HYPERLINK("http://slimages.macys.com/is/image/MCY/18981155 ")</f>
        <v xml:space="preserve">http://slimages.macys.com/is/image/MCY/18981155 </v>
      </c>
      <c r="N141" s="30"/>
    </row>
    <row r="142" spans="1:14" ht="60" x14ac:dyDescent="0.25">
      <c r="A142" s="19" t="s">
        <v>3827</v>
      </c>
      <c r="B142" s="17" t="s">
        <v>3826</v>
      </c>
      <c r="C142" s="20">
        <v>1</v>
      </c>
      <c r="D142" s="18">
        <v>89.5</v>
      </c>
      <c r="E142" s="20" t="s">
        <v>2822</v>
      </c>
      <c r="F142" s="17" t="s">
        <v>28</v>
      </c>
      <c r="G142" s="19" t="s">
        <v>139</v>
      </c>
      <c r="H142" s="18">
        <v>16.853333333333335</v>
      </c>
      <c r="I142" s="17" t="s">
        <v>1891</v>
      </c>
      <c r="J142" s="17" t="s">
        <v>67</v>
      </c>
      <c r="K142" s="17"/>
      <c r="L142" s="17"/>
      <c r="M142" s="16" t="str">
        <f>HYPERLINK("http://slimages.macys.com/is/image/MCY/18981155 ")</f>
        <v xml:space="preserve">http://slimages.macys.com/is/image/MCY/18981155 </v>
      </c>
      <c r="N142" s="30"/>
    </row>
    <row r="143" spans="1:14" ht="60" x14ac:dyDescent="0.25">
      <c r="A143" s="19" t="s">
        <v>3825</v>
      </c>
      <c r="B143" s="17" t="s">
        <v>3824</v>
      </c>
      <c r="C143" s="20">
        <v>1</v>
      </c>
      <c r="D143" s="18">
        <v>66.75</v>
      </c>
      <c r="E143" s="20">
        <v>10543036</v>
      </c>
      <c r="F143" s="17" t="s">
        <v>508</v>
      </c>
      <c r="G143" s="19" t="s">
        <v>1292</v>
      </c>
      <c r="H143" s="18">
        <v>16.82</v>
      </c>
      <c r="I143" s="17" t="s">
        <v>358</v>
      </c>
      <c r="J143" s="17" t="s">
        <v>143</v>
      </c>
      <c r="K143" s="17" t="s">
        <v>389</v>
      </c>
      <c r="L143" s="17" t="s">
        <v>662</v>
      </c>
      <c r="M143" s="16" t="str">
        <f>HYPERLINK("http://slimages.macys.com/is/image/MCY/9441485 ")</f>
        <v xml:space="preserve">http://slimages.macys.com/is/image/MCY/9441485 </v>
      </c>
      <c r="N143" s="30"/>
    </row>
    <row r="144" spans="1:14" ht="60" x14ac:dyDescent="0.25">
      <c r="A144" s="19" t="s">
        <v>3823</v>
      </c>
      <c r="B144" s="17" t="s">
        <v>3822</v>
      </c>
      <c r="C144" s="20">
        <v>1</v>
      </c>
      <c r="D144" s="18">
        <v>66.75</v>
      </c>
      <c r="E144" s="20" t="s">
        <v>3821</v>
      </c>
      <c r="F144" s="17" t="s">
        <v>272</v>
      </c>
      <c r="G144" s="19" t="s">
        <v>1191</v>
      </c>
      <c r="H144" s="18">
        <v>16.8</v>
      </c>
      <c r="I144" s="17" t="s">
        <v>358</v>
      </c>
      <c r="J144" s="17" t="s">
        <v>32</v>
      </c>
      <c r="K144" s="17"/>
      <c r="L144" s="17"/>
      <c r="M144" s="16" t="str">
        <f>HYPERLINK("http://slimages.macys.com/is/image/MCY/19728252 ")</f>
        <v xml:space="preserve">http://slimages.macys.com/is/image/MCY/19728252 </v>
      </c>
      <c r="N144" s="30"/>
    </row>
    <row r="145" spans="1:14" ht="60" x14ac:dyDescent="0.25">
      <c r="A145" s="19" t="s">
        <v>3820</v>
      </c>
      <c r="B145" s="17" t="s">
        <v>3819</v>
      </c>
      <c r="C145" s="20">
        <v>1</v>
      </c>
      <c r="D145" s="18">
        <v>66.75</v>
      </c>
      <c r="E145" s="20" t="s">
        <v>3818</v>
      </c>
      <c r="F145" s="17" t="s">
        <v>282</v>
      </c>
      <c r="G145" s="19" t="s">
        <v>644</v>
      </c>
      <c r="H145" s="18">
        <v>16.8</v>
      </c>
      <c r="I145" s="17" t="s">
        <v>33</v>
      </c>
      <c r="J145" s="17" t="s">
        <v>32</v>
      </c>
      <c r="K145" s="17"/>
      <c r="L145" s="17"/>
      <c r="M145" s="16" t="str">
        <f>HYPERLINK("http://slimages.macys.com/is/image/MCY/19722891 ")</f>
        <v xml:space="preserve">http://slimages.macys.com/is/image/MCY/19722891 </v>
      </c>
      <c r="N145" s="30"/>
    </row>
    <row r="146" spans="1:14" ht="108" x14ac:dyDescent="0.25">
      <c r="A146" s="19" t="s">
        <v>3817</v>
      </c>
      <c r="B146" s="17" t="s">
        <v>3816</v>
      </c>
      <c r="C146" s="20">
        <v>1</v>
      </c>
      <c r="D146" s="18">
        <v>66.75</v>
      </c>
      <c r="E146" s="20" t="s">
        <v>2817</v>
      </c>
      <c r="F146" s="17" t="s">
        <v>44</v>
      </c>
      <c r="G146" s="19" t="s">
        <v>738</v>
      </c>
      <c r="H146" s="18">
        <v>16.793333333333337</v>
      </c>
      <c r="I146" s="17" t="s">
        <v>33</v>
      </c>
      <c r="J146" s="17" t="s">
        <v>32</v>
      </c>
      <c r="K146" s="17" t="s">
        <v>389</v>
      </c>
      <c r="L146" s="17" t="s">
        <v>2816</v>
      </c>
      <c r="M146" s="16" t="str">
        <f>HYPERLINK("http://slimages.macys.com/is/image/MCY/10267554 ")</f>
        <v xml:space="preserve">http://slimages.macys.com/is/image/MCY/10267554 </v>
      </c>
      <c r="N146" s="30"/>
    </row>
    <row r="147" spans="1:14" ht="60" x14ac:dyDescent="0.25">
      <c r="A147" s="19" t="s">
        <v>3815</v>
      </c>
      <c r="B147" s="17" t="s">
        <v>3814</v>
      </c>
      <c r="C147" s="20">
        <v>1</v>
      </c>
      <c r="D147" s="18">
        <v>89.5</v>
      </c>
      <c r="E147" s="20">
        <v>10825172</v>
      </c>
      <c r="F147" s="17" t="s">
        <v>578</v>
      </c>
      <c r="G147" s="19" t="s">
        <v>74</v>
      </c>
      <c r="H147" s="18">
        <v>16.706666666666667</v>
      </c>
      <c r="I147" s="17" t="s">
        <v>481</v>
      </c>
      <c r="J147" s="17" t="s">
        <v>641</v>
      </c>
      <c r="K147" s="17"/>
      <c r="L147" s="17"/>
      <c r="M147" s="16" t="str">
        <f>HYPERLINK("http://slimages.macys.com/is/image/MCY/21531039 ")</f>
        <v xml:space="preserve">http://slimages.macys.com/is/image/MCY/21531039 </v>
      </c>
      <c r="N147" s="30"/>
    </row>
    <row r="148" spans="1:14" ht="60" x14ac:dyDescent="0.25">
      <c r="A148" s="19" t="s">
        <v>3813</v>
      </c>
      <c r="B148" s="17" t="s">
        <v>3812</v>
      </c>
      <c r="C148" s="20">
        <v>1</v>
      </c>
      <c r="D148" s="18">
        <v>89</v>
      </c>
      <c r="E148" s="20" t="s">
        <v>3811</v>
      </c>
      <c r="F148" s="17" t="s">
        <v>575</v>
      </c>
      <c r="G148" s="19" t="s">
        <v>682</v>
      </c>
      <c r="H148" s="18">
        <v>16.613333333333333</v>
      </c>
      <c r="I148" s="17" t="s">
        <v>820</v>
      </c>
      <c r="J148" s="17" t="s">
        <v>67</v>
      </c>
      <c r="K148" s="17"/>
      <c r="L148" s="17"/>
      <c r="M148" s="16" t="str">
        <f>HYPERLINK("http://slimages.macys.com/is/image/MCY/19686763 ")</f>
        <v xml:space="preserve">http://slimages.macys.com/is/image/MCY/19686763 </v>
      </c>
      <c r="N148" s="30"/>
    </row>
    <row r="149" spans="1:14" ht="60" x14ac:dyDescent="0.25">
      <c r="A149" s="19" t="s">
        <v>3810</v>
      </c>
      <c r="B149" s="17" t="s">
        <v>3809</v>
      </c>
      <c r="C149" s="20">
        <v>1</v>
      </c>
      <c r="D149" s="18">
        <v>59.25</v>
      </c>
      <c r="E149" s="20">
        <v>10771473</v>
      </c>
      <c r="F149" s="17" t="s">
        <v>28</v>
      </c>
      <c r="G149" s="19"/>
      <c r="H149" s="18">
        <v>16.593333333333334</v>
      </c>
      <c r="I149" s="17" t="s">
        <v>33</v>
      </c>
      <c r="J149" s="17" t="s">
        <v>143</v>
      </c>
      <c r="K149" s="17"/>
      <c r="L149" s="17"/>
      <c r="M149" s="16" t="str">
        <f>HYPERLINK("http://slimages.macys.com/is/image/MCY/19096810 ")</f>
        <v xml:space="preserve">http://slimages.macys.com/is/image/MCY/19096810 </v>
      </c>
      <c r="N149" s="30"/>
    </row>
    <row r="150" spans="1:14" ht="60" x14ac:dyDescent="0.25">
      <c r="A150" s="19" t="s">
        <v>3808</v>
      </c>
      <c r="B150" s="17" t="s">
        <v>3807</v>
      </c>
      <c r="C150" s="20">
        <v>1</v>
      </c>
      <c r="D150" s="18">
        <v>59.25</v>
      </c>
      <c r="E150" s="20">
        <v>10769533</v>
      </c>
      <c r="F150" s="17" t="s">
        <v>28</v>
      </c>
      <c r="G150" s="19" t="s">
        <v>1968</v>
      </c>
      <c r="H150" s="18">
        <v>16.593333333333334</v>
      </c>
      <c r="I150" s="17" t="s">
        <v>33</v>
      </c>
      <c r="J150" s="17" t="s">
        <v>143</v>
      </c>
      <c r="K150" s="17"/>
      <c r="L150" s="17"/>
      <c r="M150" s="16" t="str">
        <f>HYPERLINK("http://slimages.macys.com/is/image/MCY/18601537 ")</f>
        <v xml:space="preserve">http://slimages.macys.com/is/image/MCY/18601537 </v>
      </c>
      <c r="N150" s="30"/>
    </row>
    <row r="151" spans="1:14" ht="60" x14ac:dyDescent="0.25">
      <c r="A151" s="19" t="s">
        <v>3806</v>
      </c>
      <c r="B151" s="17" t="s">
        <v>3805</v>
      </c>
      <c r="C151" s="20">
        <v>1</v>
      </c>
      <c r="D151" s="18">
        <v>99</v>
      </c>
      <c r="E151" s="20">
        <v>7021731</v>
      </c>
      <c r="F151" s="17" t="s">
        <v>91</v>
      </c>
      <c r="G151" s="19" t="s">
        <v>22</v>
      </c>
      <c r="H151" s="18">
        <v>16.5</v>
      </c>
      <c r="I151" s="17" t="s">
        <v>111</v>
      </c>
      <c r="J151" s="17" t="s">
        <v>110</v>
      </c>
      <c r="K151" s="17"/>
      <c r="L151" s="17"/>
      <c r="M151" s="16" t="str">
        <f>HYPERLINK("http://slimages.macys.com/is/image/MCY/18879691 ")</f>
        <v xml:space="preserve">http://slimages.macys.com/is/image/MCY/18879691 </v>
      </c>
      <c r="N151" s="30"/>
    </row>
    <row r="152" spans="1:14" ht="60" x14ac:dyDescent="0.25">
      <c r="A152" s="19" t="s">
        <v>3804</v>
      </c>
      <c r="B152" s="17" t="s">
        <v>3803</v>
      </c>
      <c r="C152" s="20">
        <v>1</v>
      </c>
      <c r="D152" s="18">
        <v>99</v>
      </c>
      <c r="E152" s="20">
        <v>7021731</v>
      </c>
      <c r="F152" s="17" t="s">
        <v>91</v>
      </c>
      <c r="G152" s="19" t="s">
        <v>17</v>
      </c>
      <c r="H152" s="18">
        <v>16.5</v>
      </c>
      <c r="I152" s="17" t="s">
        <v>111</v>
      </c>
      <c r="J152" s="17" t="s">
        <v>110</v>
      </c>
      <c r="K152" s="17"/>
      <c r="L152" s="17"/>
      <c r="M152" s="16" t="str">
        <f>HYPERLINK("http://slimages.macys.com/is/image/MCY/18879691 ")</f>
        <v xml:space="preserve">http://slimages.macys.com/is/image/MCY/18879691 </v>
      </c>
      <c r="N152" s="30"/>
    </row>
    <row r="153" spans="1:14" ht="60" x14ac:dyDescent="0.25">
      <c r="A153" s="19" t="s">
        <v>3802</v>
      </c>
      <c r="B153" s="17" t="s">
        <v>3801</v>
      </c>
      <c r="C153" s="20">
        <v>1</v>
      </c>
      <c r="D153" s="18">
        <v>99</v>
      </c>
      <c r="E153" s="20">
        <v>10770730</v>
      </c>
      <c r="F153" s="17" t="s">
        <v>558</v>
      </c>
      <c r="G153" s="19" t="s">
        <v>1292</v>
      </c>
      <c r="H153" s="18">
        <v>16.5</v>
      </c>
      <c r="I153" s="17" t="s">
        <v>1307</v>
      </c>
      <c r="J153" s="17" t="s">
        <v>1306</v>
      </c>
      <c r="K153" s="17"/>
      <c r="L153" s="17"/>
      <c r="M153" s="16" t="str">
        <f>HYPERLINK("http://slimages.macys.com/is/image/MCY/18973134 ")</f>
        <v xml:space="preserve">http://slimages.macys.com/is/image/MCY/18973134 </v>
      </c>
      <c r="N153" s="30"/>
    </row>
    <row r="154" spans="1:14" ht="60" x14ac:dyDescent="0.25">
      <c r="A154" s="19" t="s">
        <v>3800</v>
      </c>
      <c r="B154" s="17" t="s">
        <v>3799</v>
      </c>
      <c r="C154" s="20">
        <v>1</v>
      </c>
      <c r="D154" s="18">
        <v>89</v>
      </c>
      <c r="E154" s="20" t="s">
        <v>3798</v>
      </c>
      <c r="F154" s="17" t="s">
        <v>881</v>
      </c>
      <c r="G154" s="19" t="s">
        <v>197</v>
      </c>
      <c r="H154" s="18">
        <v>16.433333333333334</v>
      </c>
      <c r="I154" s="17" t="s">
        <v>405</v>
      </c>
      <c r="J154" s="17" t="s">
        <v>404</v>
      </c>
      <c r="K154" s="17"/>
      <c r="L154" s="17"/>
      <c r="M154" s="16" t="str">
        <f>HYPERLINK("http://slimages.macys.com/is/image/MCY/19526397 ")</f>
        <v xml:space="preserve">http://slimages.macys.com/is/image/MCY/19526397 </v>
      </c>
      <c r="N154" s="30"/>
    </row>
    <row r="155" spans="1:14" ht="60" x14ac:dyDescent="0.25">
      <c r="A155" s="19" t="s">
        <v>3797</v>
      </c>
      <c r="B155" s="17" t="s">
        <v>3796</v>
      </c>
      <c r="C155" s="20">
        <v>1</v>
      </c>
      <c r="D155" s="18">
        <v>89</v>
      </c>
      <c r="E155" s="20" t="s">
        <v>3795</v>
      </c>
      <c r="F155" s="17" t="s">
        <v>345</v>
      </c>
      <c r="G155" s="19" t="s">
        <v>698</v>
      </c>
      <c r="H155" s="18">
        <v>16.433333333333334</v>
      </c>
      <c r="I155" s="17" t="s">
        <v>405</v>
      </c>
      <c r="J155" s="17" t="s">
        <v>404</v>
      </c>
      <c r="K155" s="17"/>
      <c r="L155" s="17"/>
      <c r="M155" s="16" t="str">
        <f>HYPERLINK("http://slimages.macys.com/is/image/MCY/17417710 ")</f>
        <v xml:space="preserve">http://slimages.macys.com/is/image/MCY/17417710 </v>
      </c>
      <c r="N155" s="30"/>
    </row>
    <row r="156" spans="1:14" ht="60" x14ac:dyDescent="0.25">
      <c r="A156" s="19" t="s">
        <v>3794</v>
      </c>
      <c r="B156" s="17" t="s">
        <v>3793</v>
      </c>
      <c r="C156" s="20">
        <v>1</v>
      </c>
      <c r="D156" s="18">
        <v>89</v>
      </c>
      <c r="E156" s="20" t="s">
        <v>3792</v>
      </c>
      <c r="F156" s="17" t="s">
        <v>51</v>
      </c>
      <c r="G156" s="19" t="s">
        <v>69</v>
      </c>
      <c r="H156" s="18">
        <v>16.433333333333334</v>
      </c>
      <c r="I156" s="17" t="s">
        <v>405</v>
      </c>
      <c r="J156" s="17" t="s">
        <v>404</v>
      </c>
      <c r="K156" s="17"/>
      <c r="L156" s="17"/>
      <c r="M156" s="16" t="str">
        <f>HYPERLINK("http://slimages.macys.com/is/image/MCY/19527461 ")</f>
        <v xml:space="preserve">http://slimages.macys.com/is/image/MCY/19527461 </v>
      </c>
      <c r="N156" s="30"/>
    </row>
    <row r="157" spans="1:14" ht="60" x14ac:dyDescent="0.25">
      <c r="A157" s="19" t="s">
        <v>3791</v>
      </c>
      <c r="B157" s="17" t="s">
        <v>3790</v>
      </c>
      <c r="C157" s="20">
        <v>2</v>
      </c>
      <c r="D157" s="18">
        <v>89</v>
      </c>
      <c r="E157" s="20" t="s">
        <v>3789</v>
      </c>
      <c r="F157" s="17" t="s">
        <v>23</v>
      </c>
      <c r="G157" s="19"/>
      <c r="H157" s="18">
        <v>16.433333333333334</v>
      </c>
      <c r="I157" s="17" t="s">
        <v>405</v>
      </c>
      <c r="J157" s="17" t="s">
        <v>404</v>
      </c>
      <c r="K157" s="17"/>
      <c r="L157" s="17"/>
      <c r="M157" s="16" t="str">
        <f>HYPERLINK("http://slimages.macys.com/is/image/MCY/16832950 ")</f>
        <v xml:space="preserve">http://slimages.macys.com/is/image/MCY/16832950 </v>
      </c>
      <c r="N157" s="30"/>
    </row>
    <row r="158" spans="1:14" ht="60" x14ac:dyDescent="0.25">
      <c r="A158" s="19" t="s">
        <v>3788</v>
      </c>
      <c r="B158" s="17" t="s">
        <v>3787</v>
      </c>
      <c r="C158" s="20">
        <v>1</v>
      </c>
      <c r="D158" s="18">
        <v>79</v>
      </c>
      <c r="E158" s="20">
        <v>10802272</v>
      </c>
      <c r="F158" s="17" t="s">
        <v>23</v>
      </c>
      <c r="G158" s="19" t="s">
        <v>69</v>
      </c>
      <c r="H158" s="18">
        <v>16.326666666666668</v>
      </c>
      <c r="I158" s="17" t="s">
        <v>144</v>
      </c>
      <c r="J158" s="17" t="s">
        <v>143</v>
      </c>
      <c r="K158" s="17"/>
      <c r="L158" s="17"/>
      <c r="M158" s="16" t="str">
        <f>HYPERLINK("http://slimages.macys.com/is/image/MCY/19096106 ")</f>
        <v xml:space="preserve">http://slimages.macys.com/is/image/MCY/19096106 </v>
      </c>
      <c r="N158" s="30"/>
    </row>
    <row r="159" spans="1:14" ht="60" x14ac:dyDescent="0.25">
      <c r="A159" s="19" t="s">
        <v>3786</v>
      </c>
      <c r="B159" s="17" t="s">
        <v>3785</v>
      </c>
      <c r="C159" s="20">
        <v>1</v>
      </c>
      <c r="D159" s="18">
        <v>58</v>
      </c>
      <c r="E159" s="20" t="s">
        <v>3784</v>
      </c>
      <c r="F159" s="17" t="s">
        <v>140</v>
      </c>
      <c r="G159" s="19" t="s">
        <v>69</v>
      </c>
      <c r="H159" s="18">
        <v>16.240000000000002</v>
      </c>
      <c r="I159" s="17" t="s">
        <v>153</v>
      </c>
      <c r="J159" s="17" t="s">
        <v>153</v>
      </c>
      <c r="K159" s="17"/>
      <c r="L159" s="17"/>
      <c r="M159" s="16" t="str">
        <f>HYPERLINK("http://slimages.macys.com/is/image/MCY/18655819 ")</f>
        <v xml:space="preserve">http://slimages.macys.com/is/image/MCY/18655819 </v>
      </c>
      <c r="N159" s="30"/>
    </row>
    <row r="160" spans="1:14" ht="60" x14ac:dyDescent="0.25">
      <c r="A160" s="19" t="s">
        <v>3783</v>
      </c>
      <c r="B160" s="17" t="s">
        <v>3782</v>
      </c>
      <c r="C160" s="20">
        <v>1</v>
      </c>
      <c r="D160" s="18">
        <v>79.5</v>
      </c>
      <c r="E160" s="20" t="s">
        <v>1244</v>
      </c>
      <c r="F160" s="17" t="s">
        <v>51</v>
      </c>
      <c r="G160" s="19" t="s">
        <v>62</v>
      </c>
      <c r="H160" s="18">
        <v>16.013333333333335</v>
      </c>
      <c r="I160" s="17" t="s">
        <v>106</v>
      </c>
      <c r="J160" s="17" t="s">
        <v>105</v>
      </c>
      <c r="K160" s="17"/>
      <c r="L160" s="17"/>
      <c r="M160" s="16" t="str">
        <f>HYPERLINK("http://slimages.macys.com/is/image/MCY/20125785 ")</f>
        <v xml:space="preserve">http://slimages.macys.com/is/image/MCY/20125785 </v>
      </c>
      <c r="N160" s="30"/>
    </row>
    <row r="161" spans="1:14" ht="60" x14ac:dyDescent="0.25">
      <c r="A161" s="19" t="s">
        <v>3781</v>
      </c>
      <c r="B161" s="17" t="s">
        <v>3780</v>
      </c>
      <c r="C161" s="20">
        <v>1</v>
      </c>
      <c r="D161" s="18">
        <v>79.5</v>
      </c>
      <c r="E161" s="20" t="s">
        <v>2794</v>
      </c>
      <c r="F161" s="17" t="s">
        <v>330</v>
      </c>
      <c r="G161" s="19" t="s">
        <v>197</v>
      </c>
      <c r="H161" s="18">
        <v>16.013333333333335</v>
      </c>
      <c r="I161" s="17" t="s">
        <v>106</v>
      </c>
      <c r="J161" s="17" t="s">
        <v>105</v>
      </c>
      <c r="K161" s="17"/>
      <c r="L161" s="17"/>
      <c r="M161" s="16" t="str">
        <f>HYPERLINK("http://slimages.macys.com/is/image/MCY/19900271 ")</f>
        <v xml:space="preserve">http://slimages.macys.com/is/image/MCY/19900271 </v>
      </c>
      <c r="N161" s="30"/>
    </row>
    <row r="162" spans="1:14" ht="60" x14ac:dyDescent="0.25">
      <c r="A162" s="19" t="s">
        <v>2806</v>
      </c>
      <c r="B162" s="17" t="s">
        <v>2805</v>
      </c>
      <c r="C162" s="20">
        <v>4</v>
      </c>
      <c r="D162" s="18">
        <v>79.5</v>
      </c>
      <c r="E162" s="20" t="s">
        <v>1244</v>
      </c>
      <c r="F162" s="17" t="s">
        <v>91</v>
      </c>
      <c r="G162" s="19" t="s">
        <v>197</v>
      </c>
      <c r="H162" s="18">
        <v>16.013333333333335</v>
      </c>
      <c r="I162" s="17" t="s">
        <v>106</v>
      </c>
      <c r="J162" s="17" t="s">
        <v>105</v>
      </c>
      <c r="K162" s="17"/>
      <c r="L162" s="17"/>
      <c r="M162" s="16" t="str">
        <f>HYPERLINK("http://slimages.macys.com/is/image/MCY/20125785 ")</f>
        <v xml:space="preserve">http://slimages.macys.com/is/image/MCY/20125785 </v>
      </c>
      <c r="N162" s="30"/>
    </row>
    <row r="163" spans="1:14" ht="60" x14ac:dyDescent="0.25">
      <c r="A163" s="19" t="s">
        <v>2804</v>
      </c>
      <c r="B163" s="17" t="s">
        <v>2803</v>
      </c>
      <c r="C163" s="20">
        <v>1</v>
      </c>
      <c r="D163" s="18">
        <v>79.5</v>
      </c>
      <c r="E163" s="20" t="s">
        <v>2802</v>
      </c>
      <c r="F163" s="17" t="s">
        <v>51</v>
      </c>
      <c r="G163" s="19" t="s">
        <v>62</v>
      </c>
      <c r="H163" s="18">
        <v>16.013333333333335</v>
      </c>
      <c r="I163" s="17" t="s">
        <v>106</v>
      </c>
      <c r="J163" s="17" t="s">
        <v>105</v>
      </c>
      <c r="K163" s="17"/>
      <c r="L163" s="17"/>
      <c r="M163" s="16" t="str">
        <f>HYPERLINK("http://slimages.macys.com/is/image/MCY/19027051 ")</f>
        <v xml:space="preserve">http://slimages.macys.com/is/image/MCY/19027051 </v>
      </c>
      <c r="N163" s="30"/>
    </row>
    <row r="164" spans="1:14" ht="60" x14ac:dyDescent="0.25">
      <c r="A164" s="19" t="s">
        <v>1246</v>
      </c>
      <c r="B164" s="17" t="s">
        <v>1245</v>
      </c>
      <c r="C164" s="20">
        <v>1</v>
      </c>
      <c r="D164" s="18">
        <v>79.5</v>
      </c>
      <c r="E164" s="20" t="s">
        <v>1244</v>
      </c>
      <c r="F164" s="17" t="s">
        <v>91</v>
      </c>
      <c r="G164" s="19" t="s">
        <v>62</v>
      </c>
      <c r="H164" s="18">
        <v>16.013333333333335</v>
      </c>
      <c r="I164" s="17" t="s">
        <v>106</v>
      </c>
      <c r="J164" s="17" t="s">
        <v>105</v>
      </c>
      <c r="K164" s="17"/>
      <c r="L164" s="17"/>
      <c r="M164" s="16" t="str">
        <f>HYPERLINK("http://slimages.macys.com/is/image/MCY/20125785 ")</f>
        <v xml:space="preserve">http://slimages.macys.com/is/image/MCY/20125785 </v>
      </c>
      <c r="N164" s="30"/>
    </row>
    <row r="165" spans="1:14" ht="60" x14ac:dyDescent="0.25">
      <c r="A165" s="19" t="s">
        <v>3779</v>
      </c>
      <c r="B165" s="17" t="s">
        <v>3778</v>
      </c>
      <c r="C165" s="20">
        <v>1</v>
      </c>
      <c r="D165" s="18">
        <v>79.5</v>
      </c>
      <c r="E165" s="20" t="s">
        <v>2794</v>
      </c>
      <c r="F165" s="17" t="s">
        <v>578</v>
      </c>
      <c r="G165" s="19" t="s">
        <v>62</v>
      </c>
      <c r="H165" s="18">
        <v>16.013333333333335</v>
      </c>
      <c r="I165" s="17" t="s">
        <v>106</v>
      </c>
      <c r="J165" s="17" t="s">
        <v>105</v>
      </c>
      <c r="K165" s="17"/>
      <c r="L165" s="17"/>
      <c r="M165" s="16" t="str">
        <f>HYPERLINK("http://slimages.macys.com/is/image/MCY/19900271 ")</f>
        <v xml:space="preserve">http://slimages.macys.com/is/image/MCY/19900271 </v>
      </c>
      <c r="N165" s="30"/>
    </row>
    <row r="166" spans="1:14" ht="60" x14ac:dyDescent="0.25">
      <c r="A166" s="19" t="s">
        <v>3777</v>
      </c>
      <c r="B166" s="17" t="s">
        <v>3776</v>
      </c>
      <c r="C166" s="20">
        <v>1</v>
      </c>
      <c r="D166" s="18">
        <v>79.5</v>
      </c>
      <c r="E166" s="20" t="s">
        <v>1244</v>
      </c>
      <c r="F166" s="17" t="s">
        <v>51</v>
      </c>
      <c r="G166" s="19" t="s">
        <v>197</v>
      </c>
      <c r="H166" s="18">
        <v>16.013333333333335</v>
      </c>
      <c r="I166" s="17" t="s">
        <v>106</v>
      </c>
      <c r="J166" s="17" t="s">
        <v>105</v>
      </c>
      <c r="K166" s="17"/>
      <c r="L166" s="17"/>
      <c r="M166" s="16" t="str">
        <f>HYPERLINK("http://slimages.macys.com/is/image/MCY/20125785 ")</f>
        <v xml:space="preserve">http://slimages.macys.com/is/image/MCY/20125785 </v>
      </c>
      <c r="N166" s="30"/>
    </row>
    <row r="167" spans="1:14" ht="60" x14ac:dyDescent="0.25">
      <c r="A167" s="19" t="s">
        <v>1248</v>
      </c>
      <c r="B167" s="17" t="s">
        <v>1247</v>
      </c>
      <c r="C167" s="20">
        <v>1</v>
      </c>
      <c r="D167" s="18">
        <v>79.5</v>
      </c>
      <c r="E167" s="20" t="s">
        <v>1244</v>
      </c>
      <c r="F167" s="17" t="s">
        <v>91</v>
      </c>
      <c r="G167" s="19" t="s">
        <v>69</v>
      </c>
      <c r="H167" s="18">
        <v>16.013333333333335</v>
      </c>
      <c r="I167" s="17" t="s">
        <v>106</v>
      </c>
      <c r="J167" s="17" t="s">
        <v>105</v>
      </c>
      <c r="K167" s="17"/>
      <c r="L167" s="17"/>
      <c r="M167" s="16" t="str">
        <f>HYPERLINK("http://slimages.macys.com/is/image/MCY/20125785 ")</f>
        <v xml:space="preserve">http://slimages.macys.com/is/image/MCY/20125785 </v>
      </c>
      <c r="N167" s="30"/>
    </row>
    <row r="168" spans="1:14" ht="60" x14ac:dyDescent="0.25">
      <c r="A168" s="19" t="s">
        <v>2808</v>
      </c>
      <c r="B168" s="17" t="s">
        <v>2807</v>
      </c>
      <c r="C168" s="20">
        <v>2</v>
      </c>
      <c r="D168" s="18">
        <v>79.5</v>
      </c>
      <c r="E168" s="20" t="s">
        <v>1244</v>
      </c>
      <c r="F168" s="17" t="s">
        <v>91</v>
      </c>
      <c r="G168" s="19" t="s">
        <v>74</v>
      </c>
      <c r="H168" s="18">
        <v>16.013333333333335</v>
      </c>
      <c r="I168" s="17" t="s">
        <v>106</v>
      </c>
      <c r="J168" s="17" t="s">
        <v>105</v>
      </c>
      <c r="K168" s="17"/>
      <c r="L168" s="17"/>
      <c r="M168" s="16" t="str">
        <f>HYPERLINK("http://slimages.macys.com/is/image/MCY/20125785 ")</f>
        <v xml:space="preserve">http://slimages.macys.com/is/image/MCY/20125785 </v>
      </c>
      <c r="N168" s="30"/>
    </row>
    <row r="169" spans="1:14" ht="60" x14ac:dyDescent="0.25">
      <c r="A169" s="19" t="s">
        <v>561</v>
      </c>
      <c r="B169" s="17" t="s">
        <v>560</v>
      </c>
      <c r="C169" s="20">
        <v>8</v>
      </c>
      <c r="D169" s="18">
        <v>75</v>
      </c>
      <c r="E169" s="20" t="s">
        <v>559</v>
      </c>
      <c r="F169" s="17" t="s">
        <v>558</v>
      </c>
      <c r="G169" s="19" t="s">
        <v>74</v>
      </c>
      <c r="H169" s="18">
        <v>16</v>
      </c>
      <c r="I169" s="17" t="s">
        <v>80</v>
      </c>
      <c r="J169" s="17" t="s">
        <v>531</v>
      </c>
      <c r="K169" s="17"/>
      <c r="L169" s="17"/>
      <c r="M169" s="16" t="str">
        <f>HYPERLINK("http://slimages.macys.com/is/image/MCY/18371419 ")</f>
        <v xml:space="preserve">http://slimages.macys.com/is/image/MCY/18371419 </v>
      </c>
      <c r="N169" s="30"/>
    </row>
    <row r="170" spans="1:14" ht="60" x14ac:dyDescent="0.25">
      <c r="A170" s="19" t="s">
        <v>1243</v>
      </c>
      <c r="B170" s="17" t="s">
        <v>1242</v>
      </c>
      <c r="C170" s="20">
        <v>1</v>
      </c>
      <c r="D170" s="18">
        <v>75</v>
      </c>
      <c r="E170" s="20" t="s">
        <v>1241</v>
      </c>
      <c r="F170" s="17" t="s">
        <v>51</v>
      </c>
      <c r="G170" s="19" t="s">
        <v>69</v>
      </c>
      <c r="H170" s="18">
        <v>16</v>
      </c>
      <c r="I170" s="17" t="s">
        <v>80</v>
      </c>
      <c r="J170" s="17" t="s">
        <v>531</v>
      </c>
      <c r="K170" s="17"/>
      <c r="L170" s="17"/>
      <c r="M170" s="16" t="str">
        <f>HYPERLINK("http://slimages.macys.com/is/image/MCY/18269796 ")</f>
        <v xml:space="preserve">http://slimages.macys.com/is/image/MCY/18269796 </v>
      </c>
      <c r="N170" s="30"/>
    </row>
    <row r="171" spans="1:14" ht="60" x14ac:dyDescent="0.25">
      <c r="A171" s="19" t="s">
        <v>3775</v>
      </c>
      <c r="B171" s="17" t="s">
        <v>3774</v>
      </c>
      <c r="C171" s="20">
        <v>5</v>
      </c>
      <c r="D171" s="18">
        <v>75</v>
      </c>
      <c r="E171" s="20" t="s">
        <v>559</v>
      </c>
      <c r="F171" s="17" t="s">
        <v>51</v>
      </c>
      <c r="G171" s="19" t="s">
        <v>57</v>
      </c>
      <c r="H171" s="18">
        <v>16</v>
      </c>
      <c r="I171" s="17" t="s">
        <v>80</v>
      </c>
      <c r="J171" s="17" t="s">
        <v>531</v>
      </c>
      <c r="K171" s="17"/>
      <c r="L171" s="17"/>
      <c r="M171" s="16" t="str">
        <f>HYPERLINK("http://slimages.macys.com/is/image/MCY/18371419 ")</f>
        <v xml:space="preserve">http://slimages.macys.com/is/image/MCY/18371419 </v>
      </c>
      <c r="N171" s="30"/>
    </row>
    <row r="172" spans="1:14" ht="60" x14ac:dyDescent="0.25">
      <c r="A172" s="19" t="s">
        <v>3773</v>
      </c>
      <c r="B172" s="17" t="s">
        <v>3772</v>
      </c>
      <c r="C172" s="20">
        <v>1</v>
      </c>
      <c r="D172" s="18">
        <v>75</v>
      </c>
      <c r="E172" s="20" t="s">
        <v>559</v>
      </c>
      <c r="F172" s="17" t="s">
        <v>1382</v>
      </c>
      <c r="G172" s="19" t="s">
        <v>197</v>
      </c>
      <c r="H172" s="18">
        <v>16</v>
      </c>
      <c r="I172" s="17" t="s">
        <v>80</v>
      </c>
      <c r="J172" s="17" t="s">
        <v>531</v>
      </c>
      <c r="K172" s="17"/>
      <c r="L172" s="17"/>
      <c r="M172" s="16" t="str">
        <f>HYPERLINK("http://slimages.macys.com/is/image/MCY/18371419 ")</f>
        <v xml:space="preserve">http://slimages.macys.com/is/image/MCY/18371419 </v>
      </c>
      <c r="N172" s="30"/>
    </row>
    <row r="173" spans="1:14" ht="60" x14ac:dyDescent="0.25">
      <c r="A173" s="19" t="s">
        <v>2791</v>
      </c>
      <c r="B173" s="17" t="s">
        <v>2790</v>
      </c>
      <c r="C173" s="20">
        <v>1</v>
      </c>
      <c r="D173" s="18">
        <v>79</v>
      </c>
      <c r="E173" s="20">
        <v>10817006</v>
      </c>
      <c r="F173" s="17" t="s">
        <v>51</v>
      </c>
      <c r="G173" s="19" t="s">
        <v>271</v>
      </c>
      <c r="H173" s="18">
        <v>15.8</v>
      </c>
      <c r="I173" s="17" t="s">
        <v>358</v>
      </c>
      <c r="J173" s="17" t="s">
        <v>554</v>
      </c>
      <c r="K173" s="17"/>
      <c r="L173" s="17"/>
      <c r="M173" s="16" t="str">
        <f>HYPERLINK("http://slimages.macys.com/is/image/MCY/19382263 ")</f>
        <v xml:space="preserve">http://slimages.macys.com/is/image/MCY/19382263 </v>
      </c>
      <c r="N173" s="30"/>
    </row>
    <row r="174" spans="1:14" ht="60" x14ac:dyDescent="0.25">
      <c r="A174" s="19" t="s">
        <v>2787</v>
      </c>
      <c r="B174" s="17" t="s">
        <v>2786</v>
      </c>
      <c r="C174" s="20">
        <v>2</v>
      </c>
      <c r="D174" s="18">
        <v>79</v>
      </c>
      <c r="E174" s="20">
        <v>10817006</v>
      </c>
      <c r="F174" s="17" t="s">
        <v>51</v>
      </c>
      <c r="G174" s="19" t="s">
        <v>351</v>
      </c>
      <c r="H174" s="18">
        <v>15.8</v>
      </c>
      <c r="I174" s="17" t="s">
        <v>358</v>
      </c>
      <c r="J174" s="17" t="s">
        <v>554</v>
      </c>
      <c r="K174" s="17"/>
      <c r="L174" s="17"/>
      <c r="M174" s="16" t="str">
        <f>HYPERLINK("http://slimages.macys.com/is/image/MCY/19382263 ")</f>
        <v xml:space="preserve">http://slimages.macys.com/is/image/MCY/19382263 </v>
      </c>
      <c r="N174" s="30"/>
    </row>
    <row r="175" spans="1:14" ht="60" x14ac:dyDescent="0.25">
      <c r="A175" s="19" t="s">
        <v>3771</v>
      </c>
      <c r="B175" s="17" t="s">
        <v>3770</v>
      </c>
      <c r="C175" s="20">
        <v>3</v>
      </c>
      <c r="D175" s="18">
        <v>79</v>
      </c>
      <c r="E175" s="20">
        <v>10813110</v>
      </c>
      <c r="F175" s="17" t="s">
        <v>575</v>
      </c>
      <c r="G175" s="19" t="s">
        <v>139</v>
      </c>
      <c r="H175" s="18">
        <v>15.8</v>
      </c>
      <c r="I175" s="17" t="s">
        <v>358</v>
      </c>
      <c r="J175" s="17" t="s">
        <v>554</v>
      </c>
      <c r="K175" s="17"/>
      <c r="L175" s="17"/>
      <c r="M175" s="16" t="str">
        <f>HYPERLINK("http://slimages.macys.com/is/image/MCY/19888312 ")</f>
        <v xml:space="preserve">http://slimages.macys.com/is/image/MCY/19888312 </v>
      </c>
      <c r="N175" s="30"/>
    </row>
    <row r="176" spans="1:14" ht="60" x14ac:dyDescent="0.25">
      <c r="A176" s="19" t="s">
        <v>3769</v>
      </c>
      <c r="B176" s="17" t="s">
        <v>3768</v>
      </c>
      <c r="C176" s="20">
        <v>1</v>
      </c>
      <c r="D176" s="18">
        <v>79</v>
      </c>
      <c r="E176" s="20">
        <v>10804962</v>
      </c>
      <c r="F176" s="17" t="s">
        <v>1022</v>
      </c>
      <c r="G176" s="19" t="s">
        <v>351</v>
      </c>
      <c r="H176" s="18">
        <v>15.8</v>
      </c>
      <c r="I176" s="17" t="s">
        <v>358</v>
      </c>
      <c r="J176" s="17" t="s">
        <v>554</v>
      </c>
      <c r="K176" s="17"/>
      <c r="L176" s="17"/>
      <c r="M176" s="16" t="str">
        <f>HYPERLINK("http://slimages.macys.com/is/image/MCY/19205592 ")</f>
        <v xml:space="preserve">http://slimages.macys.com/is/image/MCY/19205592 </v>
      </c>
      <c r="N176" s="30"/>
    </row>
    <row r="177" spans="1:14" ht="60" x14ac:dyDescent="0.25">
      <c r="A177" s="19" t="s">
        <v>3767</v>
      </c>
      <c r="B177" s="17" t="s">
        <v>3766</v>
      </c>
      <c r="C177" s="20">
        <v>1</v>
      </c>
      <c r="D177" s="18">
        <v>79</v>
      </c>
      <c r="E177" s="20">
        <v>10813110</v>
      </c>
      <c r="F177" s="17" t="s">
        <v>575</v>
      </c>
      <c r="G177" s="19" t="s">
        <v>351</v>
      </c>
      <c r="H177" s="18">
        <v>15.8</v>
      </c>
      <c r="I177" s="17" t="s">
        <v>358</v>
      </c>
      <c r="J177" s="17" t="s">
        <v>554</v>
      </c>
      <c r="K177" s="17"/>
      <c r="L177" s="17"/>
      <c r="M177" s="16" t="str">
        <f>HYPERLINK("http://slimages.macys.com/is/image/MCY/19888312 ")</f>
        <v xml:space="preserve">http://slimages.macys.com/is/image/MCY/19888312 </v>
      </c>
      <c r="N177" s="30"/>
    </row>
    <row r="178" spans="1:14" ht="60" x14ac:dyDescent="0.25">
      <c r="A178" s="19" t="s">
        <v>2789</v>
      </c>
      <c r="B178" s="17" t="s">
        <v>2788</v>
      </c>
      <c r="C178" s="20">
        <v>2</v>
      </c>
      <c r="D178" s="18">
        <v>79</v>
      </c>
      <c r="E178" s="20">
        <v>10817006</v>
      </c>
      <c r="F178" s="17" t="s">
        <v>51</v>
      </c>
      <c r="G178" s="19" t="s">
        <v>139</v>
      </c>
      <c r="H178" s="18">
        <v>15.8</v>
      </c>
      <c r="I178" s="17" t="s">
        <v>358</v>
      </c>
      <c r="J178" s="17" t="s">
        <v>554</v>
      </c>
      <c r="K178" s="17"/>
      <c r="L178" s="17"/>
      <c r="M178" s="16" t="str">
        <f>HYPERLINK("http://slimages.macys.com/is/image/MCY/19382263 ")</f>
        <v xml:space="preserve">http://slimages.macys.com/is/image/MCY/19382263 </v>
      </c>
      <c r="N178" s="30"/>
    </row>
    <row r="179" spans="1:14" ht="60" x14ac:dyDescent="0.25">
      <c r="A179" s="19" t="s">
        <v>3765</v>
      </c>
      <c r="B179" s="17" t="s">
        <v>3764</v>
      </c>
      <c r="C179" s="20">
        <v>1</v>
      </c>
      <c r="D179" s="18">
        <v>74</v>
      </c>
      <c r="E179" s="20">
        <v>7020031</v>
      </c>
      <c r="F179" s="17" t="s">
        <v>91</v>
      </c>
      <c r="G179" s="19" t="s">
        <v>17</v>
      </c>
      <c r="H179" s="18">
        <v>15.786666666666667</v>
      </c>
      <c r="I179" s="17" t="s">
        <v>111</v>
      </c>
      <c r="J179" s="17" t="s">
        <v>110</v>
      </c>
      <c r="K179" s="17" t="s">
        <v>389</v>
      </c>
      <c r="L179" s="17" t="s">
        <v>1359</v>
      </c>
      <c r="M179" s="16" t="str">
        <f>HYPERLINK("http://slimages.macys.com/is/image/MCY/16449460 ")</f>
        <v xml:space="preserve">http://slimages.macys.com/is/image/MCY/16449460 </v>
      </c>
      <c r="N179" s="30"/>
    </row>
    <row r="180" spans="1:14" ht="60" x14ac:dyDescent="0.25">
      <c r="A180" s="19" t="s">
        <v>3763</v>
      </c>
      <c r="B180" s="17" t="s">
        <v>3762</v>
      </c>
      <c r="C180" s="20">
        <v>3</v>
      </c>
      <c r="D180" s="18">
        <v>79</v>
      </c>
      <c r="E180" s="20" t="s">
        <v>1983</v>
      </c>
      <c r="F180" s="17" t="s">
        <v>58</v>
      </c>
      <c r="G180" s="19" t="s">
        <v>74</v>
      </c>
      <c r="H180" s="18">
        <v>15.486666666666666</v>
      </c>
      <c r="I180" s="17" t="s">
        <v>492</v>
      </c>
      <c r="J180" s="17" t="s">
        <v>491</v>
      </c>
      <c r="K180" s="17"/>
      <c r="L180" s="17"/>
      <c r="M180" s="16" t="str">
        <f>HYPERLINK("http://slimages.macys.com/is/image/MCY/18188032 ")</f>
        <v xml:space="preserve">http://slimages.macys.com/is/image/MCY/18188032 </v>
      </c>
      <c r="N180" s="30"/>
    </row>
    <row r="181" spans="1:14" ht="60" x14ac:dyDescent="0.25">
      <c r="A181" s="19" t="s">
        <v>3761</v>
      </c>
      <c r="B181" s="17" t="s">
        <v>3760</v>
      </c>
      <c r="C181" s="20">
        <v>4</v>
      </c>
      <c r="D181" s="18">
        <v>79</v>
      </c>
      <c r="E181" s="20" t="s">
        <v>1983</v>
      </c>
      <c r="F181" s="17" t="s">
        <v>58</v>
      </c>
      <c r="G181" s="19" t="s">
        <v>69</v>
      </c>
      <c r="H181" s="18">
        <v>15.486666666666666</v>
      </c>
      <c r="I181" s="17" t="s">
        <v>492</v>
      </c>
      <c r="J181" s="17" t="s">
        <v>491</v>
      </c>
      <c r="K181" s="17"/>
      <c r="L181" s="17"/>
      <c r="M181" s="16" t="str">
        <f>HYPERLINK("http://slimages.macys.com/is/image/MCY/18188032 ")</f>
        <v xml:space="preserve">http://slimages.macys.com/is/image/MCY/18188032 </v>
      </c>
      <c r="N181" s="30"/>
    </row>
    <row r="182" spans="1:14" ht="60" x14ac:dyDescent="0.25">
      <c r="A182" s="19" t="s">
        <v>3759</v>
      </c>
      <c r="B182" s="17" t="s">
        <v>3758</v>
      </c>
      <c r="C182" s="20">
        <v>3</v>
      </c>
      <c r="D182" s="18">
        <v>79</v>
      </c>
      <c r="E182" s="20" t="s">
        <v>1983</v>
      </c>
      <c r="F182" s="17" t="s">
        <v>58</v>
      </c>
      <c r="G182" s="19" t="s">
        <v>62</v>
      </c>
      <c r="H182" s="18">
        <v>15.486666666666666</v>
      </c>
      <c r="I182" s="17" t="s">
        <v>492</v>
      </c>
      <c r="J182" s="17" t="s">
        <v>491</v>
      </c>
      <c r="K182" s="17"/>
      <c r="L182" s="17"/>
      <c r="M182" s="16" t="str">
        <f>HYPERLINK("http://slimages.macys.com/is/image/MCY/18188032 ")</f>
        <v xml:space="preserve">http://slimages.macys.com/is/image/MCY/18188032 </v>
      </c>
      <c r="N182" s="30"/>
    </row>
    <row r="183" spans="1:14" ht="60" x14ac:dyDescent="0.25">
      <c r="A183" s="19" t="s">
        <v>3757</v>
      </c>
      <c r="B183" s="17" t="s">
        <v>3756</v>
      </c>
      <c r="C183" s="20">
        <v>11</v>
      </c>
      <c r="D183" s="18">
        <v>68</v>
      </c>
      <c r="E183" s="20" t="s">
        <v>1224</v>
      </c>
      <c r="F183" s="17" t="s">
        <v>58</v>
      </c>
      <c r="G183" s="19" t="s">
        <v>69</v>
      </c>
      <c r="H183" s="18">
        <v>15.333333333333332</v>
      </c>
      <c r="I183" s="17" t="s">
        <v>133</v>
      </c>
      <c r="J183" s="17" t="s">
        <v>833</v>
      </c>
      <c r="K183" s="17"/>
      <c r="L183" s="17"/>
      <c r="M183" s="16" t="str">
        <f>HYPERLINK("http://slimages.macys.com/is/image/MCY/19305903 ")</f>
        <v xml:space="preserve">http://slimages.macys.com/is/image/MCY/19305903 </v>
      </c>
      <c r="N183" s="30"/>
    </row>
    <row r="184" spans="1:14" ht="60" x14ac:dyDescent="0.25">
      <c r="A184" s="19" t="s">
        <v>3755</v>
      </c>
      <c r="B184" s="17" t="s">
        <v>3754</v>
      </c>
      <c r="C184" s="20">
        <v>1</v>
      </c>
      <c r="D184" s="18">
        <v>99</v>
      </c>
      <c r="E184" s="20">
        <v>2331903</v>
      </c>
      <c r="F184" s="17" t="s">
        <v>1022</v>
      </c>
      <c r="G184" s="19" t="s">
        <v>698</v>
      </c>
      <c r="H184" s="18">
        <v>15.333333333333332</v>
      </c>
      <c r="I184" s="17" t="s">
        <v>80</v>
      </c>
      <c r="J184" s="17" t="s">
        <v>293</v>
      </c>
      <c r="K184" s="17"/>
      <c r="L184" s="17"/>
      <c r="M184" s="16" t="str">
        <f>HYPERLINK("http://slimages.macys.com/is/image/MCY/19191739 ")</f>
        <v xml:space="preserve">http://slimages.macys.com/is/image/MCY/19191739 </v>
      </c>
      <c r="N184" s="30"/>
    </row>
    <row r="185" spans="1:14" ht="84" x14ac:dyDescent="0.25">
      <c r="A185" s="19" t="s">
        <v>3753</v>
      </c>
      <c r="B185" s="17" t="s">
        <v>3752</v>
      </c>
      <c r="C185" s="20">
        <v>1</v>
      </c>
      <c r="D185" s="18">
        <v>79</v>
      </c>
      <c r="E185" s="20">
        <v>10695398</v>
      </c>
      <c r="F185" s="17" t="s">
        <v>51</v>
      </c>
      <c r="G185" s="19" t="s">
        <v>698</v>
      </c>
      <c r="H185" s="18">
        <v>15.273333333333333</v>
      </c>
      <c r="I185" s="17" t="s">
        <v>144</v>
      </c>
      <c r="J185" s="17" t="s">
        <v>143</v>
      </c>
      <c r="K185" s="17" t="s">
        <v>389</v>
      </c>
      <c r="L185" s="17" t="s">
        <v>1355</v>
      </c>
      <c r="M185" s="16" t="str">
        <f>HYPERLINK("http://slimages.macys.com/is/image/MCY/14815173 ")</f>
        <v xml:space="preserve">http://slimages.macys.com/is/image/MCY/14815173 </v>
      </c>
      <c r="N185" s="30"/>
    </row>
    <row r="186" spans="1:14" ht="60" x14ac:dyDescent="0.25">
      <c r="A186" s="19" t="s">
        <v>3751</v>
      </c>
      <c r="B186" s="17" t="s">
        <v>3750</v>
      </c>
      <c r="C186" s="20">
        <v>1</v>
      </c>
      <c r="D186" s="18">
        <v>69</v>
      </c>
      <c r="E186" s="20" t="s">
        <v>102</v>
      </c>
      <c r="F186" s="17" t="s">
        <v>881</v>
      </c>
      <c r="G186" s="19" t="s">
        <v>17</v>
      </c>
      <c r="H186" s="18">
        <v>15.226666666666667</v>
      </c>
      <c r="I186" s="17" t="s">
        <v>49</v>
      </c>
      <c r="J186" s="17" t="s">
        <v>48</v>
      </c>
      <c r="K186" s="17"/>
      <c r="L186" s="17"/>
      <c r="M186" s="16" t="str">
        <f>HYPERLINK("http://slimages.macys.com/is/image/MCY/19348925 ")</f>
        <v xml:space="preserve">http://slimages.macys.com/is/image/MCY/19348925 </v>
      </c>
      <c r="N186" s="30"/>
    </row>
    <row r="187" spans="1:14" ht="60" x14ac:dyDescent="0.25">
      <c r="A187" s="19" t="s">
        <v>3749</v>
      </c>
      <c r="B187" s="17" t="s">
        <v>3748</v>
      </c>
      <c r="C187" s="20">
        <v>1</v>
      </c>
      <c r="D187" s="18">
        <v>69</v>
      </c>
      <c r="E187" s="20" t="s">
        <v>545</v>
      </c>
      <c r="F187" s="17" t="s">
        <v>81</v>
      </c>
      <c r="G187" s="19" t="s">
        <v>101</v>
      </c>
      <c r="H187" s="18">
        <v>15.226666666666667</v>
      </c>
      <c r="I187" s="17" t="s">
        <v>49</v>
      </c>
      <c r="J187" s="17" t="s">
        <v>48</v>
      </c>
      <c r="K187" s="17"/>
      <c r="L187" s="17"/>
      <c r="M187" s="16" t="str">
        <f>HYPERLINK("http://slimages.macys.com/is/image/MCY/19483143 ")</f>
        <v xml:space="preserve">http://slimages.macys.com/is/image/MCY/19483143 </v>
      </c>
      <c r="N187" s="30"/>
    </row>
    <row r="188" spans="1:14" ht="60" x14ac:dyDescent="0.25">
      <c r="A188" s="19" t="s">
        <v>3747</v>
      </c>
      <c r="B188" s="17" t="s">
        <v>3746</v>
      </c>
      <c r="C188" s="20">
        <v>1</v>
      </c>
      <c r="D188" s="18">
        <v>89.5</v>
      </c>
      <c r="E188" s="20" t="s">
        <v>3745</v>
      </c>
      <c r="F188" s="17" t="s">
        <v>85</v>
      </c>
      <c r="G188" s="19" t="s">
        <v>57</v>
      </c>
      <c r="H188" s="18">
        <v>15.173333333333332</v>
      </c>
      <c r="I188" s="17" t="s">
        <v>68</v>
      </c>
      <c r="J188" s="17" t="s">
        <v>67</v>
      </c>
      <c r="K188" s="17"/>
      <c r="L188" s="17"/>
      <c r="M188" s="16" t="str">
        <f>HYPERLINK("http://slimages.macys.com/is/image/MCY/16846390 ")</f>
        <v xml:space="preserve">http://slimages.macys.com/is/image/MCY/16846390 </v>
      </c>
      <c r="N188" s="30"/>
    </row>
    <row r="189" spans="1:14" ht="60" x14ac:dyDescent="0.25">
      <c r="A189" s="19" t="s">
        <v>3744</v>
      </c>
      <c r="B189" s="17" t="s">
        <v>3743</v>
      </c>
      <c r="C189" s="20">
        <v>1</v>
      </c>
      <c r="D189" s="18">
        <v>79.5</v>
      </c>
      <c r="E189" s="20" t="s">
        <v>3742</v>
      </c>
      <c r="F189" s="17" t="s">
        <v>206</v>
      </c>
      <c r="G189" s="19" t="s">
        <v>351</v>
      </c>
      <c r="H189" s="18">
        <v>14.973333333333334</v>
      </c>
      <c r="I189" s="17" t="s">
        <v>1891</v>
      </c>
      <c r="J189" s="17" t="s">
        <v>67</v>
      </c>
      <c r="K189" s="17"/>
      <c r="L189" s="17"/>
      <c r="M189" s="16" t="str">
        <f>HYPERLINK("http://slimages.macys.com/is/image/MCY/16861859 ")</f>
        <v xml:space="preserve">http://slimages.macys.com/is/image/MCY/16861859 </v>
      </c>
      <c r="N189" s="30"/>
    </row>
    <row r="190" spans="1:14" ht="60" x14ac:dyDescent="0.25">
      <c r="A190" s="19" t="s">
        <v>3741</v>
      </c>
      <c r="B190" s="17" t="s">
        <v>3740</v>
      </c>
      <c r="C190" s="20">
        <v>2</v>
      </c>
      <c r="D190" s="18">
        <v>79.5</v>
      </c>
      <c r="E190" s="20" t="s">
        <v>3737</v>
      </c>
      <c r="F190" s="17" t="s">
        <v>330</v>
      </c>
      <c r="G190" s="19" t="s">
        <v>271</v>
      </c>
      <c r="H190" s="18">
        <v>14.966666666666669</v>
      </c>
      <c r="I190" s="17" t="s">
        <v>1891</v>
      </c>
      <c r="J190" s="17" t="s">
        <v>2435</v>
      </c>
      <c r="K190" s="17"/>
      <c r="L190" s="17"/>
      <c r="M190" s="16" t="str">
        <f>HYPERLINK("http://slimages.macys.com/is/image/MCY/19507875 ")</f>
        <v xml:space="preserve">http://slimages.macys.com/is/image/MCY/19507875 </v>
      </c>
      <c r="N190" s="30"/>
    </row>
    <row r="191" spans="1:14" ht="60" x14ac:dyDescent="0.25">
      <c r="A191" s="19" t="s">
        <v>3739</v>
      </c>
      <c r="B191" s="17" t="s">
        <v>3738</v>
      </c>
      <c r="C191" s="20">
        <v>1</v>
      </c>
      <c r="D191" s="18">
        <v>79.5</v>
      </c>
      <c r="E191" s="20" t="s">
        <v>3737</v>
      </c>
      <c r="F191" s="17" t="s">
        <v>330</v>
      </c>
      <c r="G191" s="19" t="s">
        <v>351</v>
      </c>
      <c r="H191" s="18">
        <v>14.966666666666669</v>
      </c>
      <c r="I191" s="17" t="s">
        <v>1891</v>
      </c>
      <c r="J191" s="17" t="s">
        <v>2435</v>
      </c>
      <c r="K191" s="17"/>
      <c r="L191" s="17"/>
      <c r="M191" s="16" t="str">
        <f>HYPERLINK("http://slimages.macys.com/is/image/MCY/19507875 ")</f>
        <v xml:space="preserve">http://slimages.macys.com/is/image/MCY/19507875 </v>
      </c>
      <c r="N191" s="30"/>
    </row>
    <row r="192" spans="1:14" ht="72" x14ac:dyDescent="0.25">
      <c r="A192" s="19" t="s">
        <v>3736</v>
      </c>
      <c r="B192" s="17" t="s">
        <v>3735</v>
      </c>
      <c r="C192" s="20">
        <v>1</v>
      </c>
      <c r="D192" s="18">
        <v>59.25</v>
      </c>
      <c r="E192" s="20">
        <v>10543044</v>
      </c>
      <c r="F192" s="17" t="s">
        <v>51</v>
      </c>
      <c r="G192" s="19" t="s">
        <v>916</v>
      </c>
      <c r="H192" s="18">
        <v>14.933333333333335</v>
      </c>
      <c r="I192" s="17" t="s">
        <v>358</v>
      </c>
      <c r="J192" s="17" t="s">
        <v>143</v>
      </c>
      <c r="K192" s="17" t="s">
        <v>389</v>
      </c>
      <c r="L192" s="17" t="s">
        <v>1154</v>
      </c>
      <c r="M192" s="16" t="str">
        <f>HYPERLINK("http://slimages.macys.com/is/image/MCY/9757381 ")</f>
        <v xml:space="preserve">http://slimages.macys.com/is/image/MCY/9757381 </v>
      </c>
      <c r="N192" s="30"/>
    </row>
    <row r="193" spans="1:14" ht="72" x14ac:dyDescent="0.25">
      <c r="A193" s="19" t="s">
        <v>1215</v>
      </c>
      <c r="B193" s="17" t="s">
        <v>1214</v>
      </c>
      <c r="C193" s="20">
        <v>1</v>
      </c>
      <c r="D193" s="18">
        <v>59.25</v>
      </c>
      <c r="E193" s="20">
        <v>10677867</v>
      </c>
      <c r="F193" s="17" t="s">
        <v>51</v>
      </c>
      <c r="G193" s="19" t="s">
        <v>644</v>
      </c>
      <c r="H193" s="18">
        <v>14.933333333333335</v>
      </c>
      <c r="I193" s="17" t="s">
        <v>33</v>
      </c>
      <c r="J193" s="17" t="s">
        <v>143</v>
      </c>
      <c r="K193" s="17" t="s">
        <v>389</v>
      </c>
      <c r="L193" s="17" t="s">
        <v>1154</v>
      </c>
      <c r="M193" s="16" t="str">
        <f>HYPERLINK("http://slimages.macys.com/is/image/MCY/9441614 ")</f>
        <v xml:space="preserve">http://slimages.macys.com/is/image/MCY/9441614 </v>
      </c>
      <c r="N193" s="30"/>
    </row>
    <row r="194" spans="1:14" ht="72" x14ac:dyDescent="0.25">
      <c r="A194" s="19" t="s">
        <v>3734</v>
      </c>
      <c r="B194" s="17" t="s">
        <v>3733</v>
      </c>
      <c r="C194" s="20">
        <v>1</v>
      </c>
      <c r="D194" s="18">
        <v>59.25</v>
      </c>
      <c r="E194" s="20">
        <v>10677867</v>
      </c>
      <c r="F194" s="17" t="s">
        <v>51</v>
      </c>
      <c r="G194" s="19" t="s">
        <v>738</v>
      </c>
      <c r="H194" s="18">
        <v>14.933333333333335</v>
      </c>
      <c r="I194" s="17" t="s">
        <v>33</v>
      </c>
      <c r="J194" s="17" t="s">
        <v>143</v>
      </c>
      <c r="K194" s="17" t="s">
        <v>389</v>
      </c>
      <c r="L194" s="17" t="s">
        <v>1154</v>
      </c>
      <c r="M194" s="16" t="str">
        <f>HYPERLINK("http://slimages.macys.com/is/image/MCY/9441614 ")</f>
        <v xml:space="preserve">http://slimages.macys.com/is/image/MCY/9441614 </v>
      </c>
      <c r="N194" s="30"/>
    </row>
    <row r="195" spans="1:14" ht="60" x14ac:dyDescent="0.25">
      <c r="A195" s="19" t="s">
        <v>3732</v>
      </c>
      <c r="B195" s="17" t="s">
        <v>3731</v>
      </c>
      <c r="C195" s="20">
        <v>1</v>
      </c>
      <c r="D195" s="18">
        <v>59.25</v>
      </c>
      <c r="E195" s="20" t="s">
        <v>3726</v>
      </c>
      <c r="F195" s="17" t="s">
        <v>272</v>
      </c>
      <c r="G195" s="19" t="s">
        <v>738</v>
      </c>
      <c r="H195" s="18">
        <v>14.913333333333334</v>
      </c>
      <c r="I195" s="17" t="s">
        <v>33</v>
      </c>
      <c r="J195" s="17" t="s">
        <v>32</v>
      </c>
      <c r="K195" s="17"/>
      <c r="L195" s="17"/>
      <c r="M195" s="16" t="str">
        <f>HYPERLINK("http://slimages.macys.com/is/image/MCY/19722949 ")</f>
        <v xml:space="preserve">http://slimages.macys.com/is/image/MCY/19722949 </v>
      </c>
      <c r="N195" s="30"/>
    </row>
    <row r="196" spans="1:14" ht="60" x14ac:dyDescent="0.25">
      <c r="A196" s="19" t="s">
        <v>3730</v>
      </c>
      <c r="B196" s="17" t="s">
        <v>3729</v>
      </c>
      <c r="C196" s="20">
        <v>1</v>
      </c>
      <c r="D196" s="18">
        <v>59.25</v>
      </c>
      <c r="E196" s="20" t="s">
        <v>3726</v>
      </c>
      <c r="F196" s="17" t="s">
        <v>272</v>
      </c>
      <c r="G196" s="19" t="s">
        <v>669</v>
      </c>
      <c r="H196" s="18">
        <v>14.913333333333334</v>
      </c>
      <c r="I196" s="17" t="s">
        <v>33</v>
      </c>
      <c r="J196" s="17" t="s">
        <v>32</v>
      </c>
      <c r="K196" s="17"/>
      <c r="L196" s="17"/>
      <c r="M196" s="16" t="str">
        <f>HYPERLINK("http://slimages.macys.com/is/image/MCY/19722949 ")</f>
        <v xml:space="preserve">http://slimages.macys.com/is/image/MCY/19722949 </v>
      </c>
      <c r="N196" s="30"/>
    </row>
    <row r="197" spans="1:14" ht="60" x14ac:dyDescent="0.25">
      <c r="A197" s="19" t="s">
        <v>3728</v>
      </c>
      <c r="B197" s="17" t="s">
        <v>3727</v>
      </c>
      <c r="C197" s="20">
        <v>1</v>
      </c>
      <c r="D197" s="18">
        <v>59.25</v>
      </c>
      <c r="E197" s="20" t="s">
        <v>3726</v>
      </c>
      <c r="F197" s="17" t="s">
        <v>272</v>
      </c>
      <c r="G197" s="19" t="s">
        <v>1155</v>
      </c>
      <c r="H197" s="18">
        <v>14.913333333333334</v>
      </c>
      <c r="I197" s="17" t="s">
        <v>33</v>
      </c>
      <c r="J197" s="17" t="s">
        <v>32</v>
      </c>
      <c r="K197" s="17"/>
      <c r="L197" s="17"/>
      <c r="M197" s="16" t="str">
        <f>HYPERLINK("http://slimages.macys.com/is/image/MCY/19722949 ")</f>
        <v xml:space="preserve">http://slimages.macys.com/is/image/MCY/19722949 </v>
      </c>
      <c r="N197" s="30"/>
    </row>
    <row r="198" spans="1:14" ht="60" x14ac:dyDescent="0.25">
      <c r="A198" s="19" t="s">
        <v>3725</v>
      </c>
      <c r="B198" s="17" t="s">
        <v>3724</v>
      </c>
      <c r="C198" s="20">
        <v>3</v>
      </c>
      <c r="D198" s="18">
        <v>69.5</v>
      </c>
      <c r="E198" s="20" t="s">
        <v>3723</v>
      </c>
      <c r="F198" s="17" t="s">
        <v>85</v>
      </c>
      <c r="G198" s="19" t="s">
        <v>74</v>
      </c>
      <c r="H198" s="18">
        <v>14.833333333333334</v>
      </c>
      <c r="I198" s="17" t="s">
        <v>80</v>
      </c>
      <c r="J198" s="17" t="s">
        <v>531</v>
      </c>
      <c r="K198" s="17"/>
      <c r="L198" s="17"/>
      <c r="M198" s="16" t="str">
        <f>HYPERLINK("http://slimages.macys.com/is/image/MCY/18293470 ")</f>
        <v xml:space="preserve">http://slimages.macys.com/is/image/MCY/18293470 </v>
      </c>
      <c r="N198" s="30"/>
    </row>
    <row r="199" spans="1:14" ht="60" x14ac:dyDescent="0.25">
      <c r="A199" s="19" t="s">
        <v>3722</v>
      </c>
      <c r="B199" s="17" t="s">
        <v>3721</v>
      </c>
      <c r="C199" s="20">
        <v>1</v>
      </c>
      <c r="D199" s="18">
        <v>89</v>
      </c>
      <c r="E199" s="20">
        <v>7020309</v>
      </c>
      <c r="F199" s="17" t="s">
        <v>91</v>
      </c>
      <c r="G199" s="19" t="s">
        <v>96</v>
      </c>
      <c r="H199" s="18">
        <v>14.833333333333334</v>
      </c>
      <c r="I199" s="17" t="s">
        <v>111</v>
      </c>
      <c r="J199" s="17" t="s">
        <v>110</v>
      </c>
      <c r="K199" s="17"/>
      <c r="L199" s="17"/>
      <c r="M199" s="16" t="str">
        <f>HYPERLINK("http://slimages.macys.com/is/image/MCY/16687760 ")</f>
        <v xml:space="preserve">http://slimages.macys.com/is/image/MCY/16687760 </v>
      </c>
      <c r="N199" s="30"/>
    </row>
    <row r="200" spans="1:14" ht="60" x14ac:dyDescent="0.25">
      <c r="A200" s="19" t="s">
        <v>3720</v>
      </c>
      <c r="B200" s="17" t="s">
        <v>3719</v>
      </c>
      <c r="C200" s="20">
        <v>1</v>
      </c>
      <c r="D200" s="18">
        <v>89</v>
      </c>
      <c r="E200" s="20">
        <v>7030123</v>
      </c>
      <c r="F200" s="17" t="s">
        <v>91</v>
      </c>
      <c r="G200" s="19" t="s">
        <v>62</v>
      </c>
      <c r="H200" s="18">
        <v>14.833333333333334</v>
      </c>
      <c r="I200" s="17" t="s">
        <v>111</v>
      </c>
      <c r="J200" s="17" t="s">
        <v>110</v>
      </c>
      <c r="K200" s="17" t="s">
        <v>637</v>
      </c>
      <c r="L200" s="17" t="s">
        <v>3718</v>
      </c>
      <c r="M200" s="16" t="str">
        <f>HYPERLINK("http://images.bloomingdales.com/is/image/BLM/10984794 ")</f>
        <v xml:space="preserve">http://images.bloomingdales.com/is/image/BLM/10984794 </v>
      </c>
      <c r="N200" s="30"/>
    </row>
    <row r="201" spans="1:14" ht="60" x14ac:dyDescent="0.25">
      <c r="A201" s="19" t="s">
        <v>3717</v>
      </c>
      <c r="B201" s="17" t="s">
        <v>3716</v>
      </c>
      <c r="C201" s="20">
        <v>1</v>
      </c>
      <c r="D201" s="18">
        <v>89</v>
      </c>
      <c r="E201" s="20">
        <v>8111533200000000</v>
      </c>
      <c r="F201" s="17"/>
      <c r="G201" s="19" t="s">
        <v>62</v>
      </c>
      <c r="H201" s="18">
        <v>14.833333333333334</v>
      </c>
      <c r="I201" s="17" t="s">
        <v>129</v>
      </c>
      <c r="J201" s="17" t="s">
        <v>128</v>
      </c>
      <c r="K201" s="17"/>
      <c r="L201" s="17"/>
      <c r="M201" s="16" t="str">
        <f>HYPERLINK("http://slimages.macys.com/is/image/MCY/18792054 ")</f>
        <v xml:space="preserve">http://slimages.macys.com/is/image/MCY/18792054 </v>
      </c>
      <c r="N201" s="30"/>
    </row>
    <row r="202" spans="1:14" ht="60" x14ac:dyDescent="0.25">
      <c r="A202" s="19" t="s">
        <v>3715</v>
      </c>
      <c r="B202" s="17" t="s">
        <v>3714</v>
      </c>
      <c r="C202" s="20">
        <v>1</v>
      </c>
      <c r="D202" s="18">
        <v>89</v>
      </c>
      <c r="E202" s="20">
        <v>8159956</v>
      </c>
      <c r="F202" s="17" t="s">
        <v>58</v>
      </c>
      <c r="G202" s="19" t="s">
        <v>50</v>
      </c>
      <c r="H202" s="18">
        <v>14.833333333333334</v>
      </c>
      <c r="I202" s="17" t="s">
        <v>129</v>
      </c>
      <c r="J202" s="17" t="s">
        <v>128</v>
      </c>
      <c r="K202" s="17" t="s">
        <v>389</v>
      </c>
      <c r="L202" s="17" t="s">
        <v>1167</v>
      </c>
      <c r="M202" s="16" t="str">
        <f>HYPERLINK("http://slimages.macys.com/is/image/MCY/18608495 ")</f>
        <v xml:space="preserve">http://slimages.macys.com/is/image/MCY/18608495 </v>
      </c>
      <c r="N202" s="30"/>
    </row>
    <row r="203" spans="1:14" ht="60" x14ac:dyDescent="0.25">
      <c r="A203" s="19" t="s">
        <v>3713</v>
      </c>
      <c r="B203" s="17" t="s">
        <v>3712</v>
      </c>
      <c r="C203" s="20">
        <v>1</v>
      </c>
      <c r="D203" s="18">
        <v>89</v>
      </c>
      <c r="E203" s="20">
        <v>8159956</v>
      </c>
      <c r="F203" s="17" t="s">
        <v>140</v>
      </c>
      <c r="G203" s="19" t="s">
        <v>50</v>
      </c>
      <c r="H203" s="18">
        <v>14.833333333333334</v>
      </c>
      <c r="I203" s="17" t="s">
        <v>129</v>
      </c>
      <c r="J203" s="17" t="s">
        <v>128</v>
      </c>
      <c r="K203" s="17" t="s">
        <v>637</v>
      </c>
      <c r="L203" s="17" t="s">
        <v>3711</v>
      </c>
      <c r="M203" s="16" t="str">
        <f>HYPERLINK("http://images.bloomingdales.com/is/image/BLM/11308178 ")</f>
        <v xml:space="preserve">http://images.bloomingdales.com/is/image/BLM/11308178 </v>
      </c>
      <c r="N203" s="30"/>
    </row>
    <row r="204" spans="1:14" ht="60" x14ac:dyDescent="0.25">
      <c r="A204" s="19" t="s">
        <v>3710</v>
      </c>
      <c r="B204" s="17" t="s">
        <v>3709</v>
      </c>
      <c r="C204" s="20">
        <v>1</v>
      </c>
      <c r="D204" s="18">
        <v>89</v>
      </c>
      <c r="E204" s="20" t="s">
        <v>3708</v>
      </c>
      <c r="F204" s="17" t="s">
        <v>575</v>
      </c>
      <c r="G204" s="19" t="s">
        <v>749</v>
      </c>
      <c r="H204" s="18">
        <v>14.833333333333334</v>
      </c>
      <c r="I204" s="17" t="s">
        <v>820</v>
      </c>
      <c r="J204" s="17" t="s">
        <v>67</v>
      </c>
      <c r="K204" s="17"/>
      <c r="L204" s="17"/>
      <c r="M204" s="16" t="str">
        <f>HYPERLINK("http://slimages.macys.com/is/image/MCY/17708857 ")</f>
        <v xml:space="preserve">http://slimages.macys.com/is/image/MCY/17708857 </v>
      </c>
      <c r="N204" s="30"/>
    </row>
    <row r="205" spans="1:14" ht="60" x14ac:dyDescent="0.25">
      <c r="A205" s="19" t="s">
        <v>2760</v>
      </c>
      <c r="B205" s="17" t="s">
        <v>2759</v>
      </c>
      <c r="C205" s="20">
        <v>4</v>
      </c>
      <c r="D205" s="18">
        <v>65</v>
      </c>
      <c r="E205" s="20" t="s">
        <v>1204</v>
      </c>
      <c r="F205" s="17" t="s">
        <v>206</v>
      </c>
      <c r="G205" s="19" t="s">
        <v>69</v>
      </c>
      <c r="H205" s="18">
        <v>14.666666666666668</v>
      </c>
      <c r="I205" s="17" t="s">
        <v>133</v>
      </c>
      <c r="J205" s="17" t="s">
        <v>833</v>
      </c>
      <c r="K205" s="17"/>
      <c r="L205" s="17"/>
      <c r="M205" s="16" t="str">
        <f>HYPERLINK("http://slimages.macys.com/is/image/MCY/19305671 ")</f>
        <v xml:space="preserve">http://slimages.macys.com/is/image/MCY/19305671 </v>
      </c>
      <c r="N205" s="30"/>
    </row>
    <row r="206" spans="1:14" ht="60" x14ac:dyDescent="0.25">
      <c r="A206" s="19" t="s">
        <v>1208</v>
      </c>
      <c r="B206" s="17" t="s">
        <v>1207</v>
      </c>
      <c r="C206" s="20">
        <v>2</v>
      </c>
      <c r="D206" s="18">
        <v>65</v>
      </c>
      <c r="E206" s="20" t="s">
        <v>1199</v>
      </c>
      <c r="F206" s="17" t="s">
        <v>28</v>
      </c>
      <c r="G206" s="19" t="s">
        <v>62</v>
      </c>
      <c r="H206" s="18">
        <v>14.666666666666668</v>
      </c>
      <c r="I206" s="17" t="s">
        <v>133</v>
      </c>
      <c r="J206" s="17" t="s">
        <v>833</v>
      </c>
      <c r="K206" s="17"/>
      <c r="L206" s="17"/>
      <c r="M206" s="16" t="str">
        <f>HYPERLINK("http://slimages.macys.com/is/image/MCY/19305730 ")</f>
        <v xml:space="preserve">http://slimages.macys.com/is/image/MCY/19305730 </v>
      </c>
      <c r="N206" s="30"/>
    </row>
    <row r="207" spans="1:14" ht="60" x14ac:dyDescent="0.25">
      <c r="A207" s="19" t="s">
        <v>1201</v>
      </c>
      <c r="B207" s="17" t="s">
        <v>1200</v>
      </c>
      <c r="C207" s="20">
        <v>1</v>
      </c>
      <c r="D207" s="18">
        <v>65</v>
      </c>
      <c r="E207" s="20" t="s">
        <v>1199</v>
      </c>
      <c r="F207" s="17" t="s">
        <v>28</v>
      </c>
      <c r="G207" s="19" t="s">
        <v>74</v>
      </c>
      <c r="H207" s="18">
        <v>14.666666666666668</v>
      </c>
      <c r="I207" s="17" t="s">
        <v>133</v>
      </c>
      <c r="J207" s="17" t="s">
        <v>833</v>
      </c>
      <c r="K207" s="17"/>
      <c r="L207" s="17"/>
      <c r="M207" s="16" t="str">
        <f>HYPERLINK("http://slimages.macys.com/is/image/MCY/19305730 ")</f>
        <v xml:space="preserve">http://slimages.macys.com/is/image/MCY/19305730 </v>
      </c>
      <c r="N207" s="30"/>
    </row>
    <row r="208" spans="1:14" ht="72" x14ac:dyDescent="0.25">
      <c r="A208" s="19" t="s">
        <v>3707</v>
      </c>
      <c r="B208" s="17" t="s">
        <v>3706</v>
      </c>
      <c r="C208" s="20">
        <v>1</v>
      </c>
      <c r="D208" s="18">
        <v>79</v>
      </c>
      <c r="E208" s="20" t="s">
        <v>3705</v>
      </c>
      <c r="F208" s="17" t="s">
        <v>164</v>
      </c>
      <c r="G208" s="19" t="s">
        <v>74</v>
      </c>
      <c r="H208" s="18">
        <v>14.586666666666668</v>
      </c>
      <c r="I208" s="17" t="s">
        <v>405</v>
      </c>
      <c r="J208" s="17" t="s">
        <v>404</v>
      </c>
      <c r="K208" s="17" t="s">
        <v>1945</v>
      </c>
      <c r="L208" s="17" t="s">
        <v>3704</v>
      </c>
      <c r="M208" s="16" t="str">
        <f>HYPERLINK("http://images.bloomingdales.com/is/image/BLM/11728017 ")</f>
        <v xml:space="preserve">http://images.bloomingdales.com/is/image/BLM/11728017 </v>
      </c>
      <c r="N208" s="30"/>
    </row>
    <row r="209" spans="1:14" ht="60" x14ac:dyDescent="0.25">
      <c r="A209" s="19" t="s">
        <v>3703</v>
      </c>
      <c r="B209" s="17" t="s">
        <v>3702</v>
      </c>
      <c r="C209" s="20">
        <v>1</v>
      </c>
      <c r="D209" s="18">
        <v>79</v>
      </c>
      <c r="E209" s="20" t="s">
        <v>3701</v>
      </c>
      <c r="F209" s="17" t="s">
        <v>58</v>
      </c>
      <c r="G209" s="19" t="s">
        <v>749</v>
      </c>
      <c r="H209" s="18">
        <v>14.586666666666668</v>
      </c>
      <c r="I209" s="17" t="s">
        <v>405</v>
      </c>
      <c r="J209" s="17" t="s">
        <v>404</v>
      </c>
      <c r="K209" s="17"/>
      <c r="L209" s="17"/>
      <c r="M209" s="16" t="str">
        <f>HYPERLINK("http://slimages.macys.com/is/image/MCY/19079550 ")</f>
        <v xml:space="preserve">http://slimages.macys.com/is/image/MCY/19079550 </v>
      </c>
      <c r="N209" s="30"/>
    </row>
    <row r="210" spans="1:14" ht="60" x14ac:dyDescent="0.25">
      <c r="A210" s="19" t="s">
        <v>3700</v>
      </c>
      <c r="B210" s="17" t="s">
        <v>3699</v>
      </c>
      <c r="C210" s="20">
        <v>1</v>
      </c>
      <c r="D210" s="18">
        <v>79</v>
      </c>
      <c r="E210" s="20" t="s">
        <v>3696</v>
      </c>
      <c r="F210" s="17" t="s">
        <v>345</v>
      </c>
      <c r="G210" s="19" t="s">
        <v>69</v>
      </c>
      <c r="H210" s="18">
        <v>14.586666666666668</v>
      </c>
      <c r="I210" s="17" t="s">
        <v>405</v>
      </c>
      <c r="J210" s="17" t="s">
        <v>404</v>
      </c>
      <c r="K210" s="17"/>
      <c r="L210" s="17"/>
      <c r="M210" s="16" t="str">
        <f>HYPERLINK("http://slimages.macys.com/is/image/MCY/19406875 ")</f>
        <v xml:space="preserve">http://slimages.macys.com/is/image/MCY/19406875 </v>
      </c>
      <c r="N210" s="30"/>
    </row>
    <row r="211" spans="1:14" ht="60" x14ac:dyDescent="0.25">
      <c r="A211" s="19" t="s">
        <v>3698</v>
      </c>
      <c r="B211" s="17" t="s">
        <v>3697</v>
      </c>
      <c r="C211" s="20">
        <v>1</v>
      </c>
      <c r="D211" s="18">
        <v>79</v>
      </c>
      <c r="E211" s="20" t="s">
        <v>3696</v>
      </c>
      <c r="F211" s="17" t="s">
        <v>206</v>
      </c>
      <c r="G211" s="19" t="s">
        <v>43</v>
      </c>
      <c r="H211" s="18">
        <v>14.586666666666668</v>
      </c>
      <c r="I211" s="17" t="s">
        <v>405</v>
      </c>
      <c r="J211" s="17" t="s">
        <v>404</v>
      </c>
      <c r="K211" s="17"/>
      <c r="L211" s="17"/>
      <c r="M211" s="16" t="str">
        <f>HYPERLINK("http://slimages.macys.com/is/image/MCY/19406875 ")</f>
        <v xml:space="preserve">http://slimages.macys.com/is/image/MCY/19406875 </v>
      </c>
      <c r="N211" s="30"/>
    </row>
    <row r="212" spans="1:14" ht="60" x14ac:dyDescent="0.25">
      <c r="A212" s="19" t="s">
        <v>1193</v>
      </c>
      <c r="B212" s="17" t="s">
        <v>1192</v>
      </c>
      <c r="C212" s="20">
        <v>5</v>
      </c>
      <c r="D212" s="18">
        <v>59.25</v>
      </c>
      <c r="E212" s="20">
        <v>10735730</v>
      </c>
      <c r="F212" s="17" t="s">
        <v>544</v>
      </c>
      <c r="G212" s="19" t="s">
        <v>1191</v>
      </c>
      <c r="H212" s="18">
        <v>14.493333333333334</v>
      </c>
      <c r="I212" s="17" t="s">
        <v>358</v>
      </c>
      <c r="J212" s="17" t="s">
        <v>143</v>
      </c>
      <c r="K212" s="17"/>
      <c r="L212" s="17"/>
      <c r="M212" s="16" t="str">
        <f>HYPERLINK("http://slimages.macys.com/is/image/MCY/19486565 ")</f>
        <v xml:space="preserve">http://slimages.macys.com/is/image/MCY/19486565 </v>
      </c>
      <c r="N212" s="30"/>
    </row>
    <row r="213" spans="1:14" ht="60" x14ac:dyDescent="0.25">
      <c r="A213" s="19" t="s">
        <v>3695</v>
      </c>
      <c r="B213" s="17" t="s">
        <v>3694</v>
      </c>
      <c r="C213" s="20">
        <v>1</v>
      </c>
      <c r="D213" s="18">
        <v>51.75</v>
      </c>
      <c r="E213" s="20">
        <v>10763861</v>
      </c>
      <c r="F213" s="17" t="s">
        <v>23</v>
      </c>
      <c r="G213" s="19" t="s">
        <v>1155</v>
      </c>
      <c r="H213" s="18">
        <v>14.493333333333334</v>
      </c>
      <c r="I213" s="17" t="s">
        <v>33</v>
      </c>
      <c r="J213" s="17" t="s">
        <v>143</v>
      </c>
      <c r="K213" s="17"/>
      <c r="L213" s="17"/>
      <c r="M213" s="16" t="str">
        <f>HYPERLINK("http://slimages.macys.com/is/image/MCY/18301576 ")</f>
        <v xml:space="preserve">http://slimages.macys.com/is/image/MCY/18301576 </v>
      </c>
      <c r="N213" s="30"/>
    </row>
    <row r="214" spans="1:14" ht="60" x14ac:dyDescent="0.25">
      <c r="A214" s="19" t="s">
        <v>3693</v>
      </c>
      <c r="B214" s="17" t="s">
        <v>3692</v>
      </c>
      <c r="C214" s="20">
        <v>1</v>
      </c>
      <c r="D214" s="18">
        <v>51.75</v>
      </c>
      <c r="E214" s="20">
        <v>10763861</v>
      </c>
      <c r="F214" s="17" t="s">
        <v>23</v>
      </c>
      <c r="G214" s="19" t="s">
        <v>669</v>
      </c>
      <c r="H214" s="18">
        <v>14.493333333333334</v>
      </c>
      <c r="I214" s="17" t="s">
        <v>33</v>
      </c>
      <c r="J214" s="17" t="s">
        <v>143</v>
      </c>
      <c r="K214" s="17"/>
      <c r="L214" s="17"/>
      <c r="M214" s="16" t="str">
        <f>HYPERLINK("http://slimages.macys.com/is/image/MCY/18301576 ")</f>
        <v xml:space="preserve">http://slimages.macys.com/is/image/MCY/18301576 </v>
      </c>
      <c r="N214" s="30"/>
    </row>
    <row r="215" spans="1:14" ht="60" x14ac:dyDescent="0.25">
      <c r="A215" s="19" t="s">
        <v>3691</v>
      </c>
      <c r="B215" s="17" t="s">
        <v>3690</v>
      </c>
      <c r="C215" s="20">
        <v>1</v>
      </c>
      <c r="D215" s="18">
        <v>59.25</v>
      </c>
      <c r="E215" s="20">
        <v>10735730</v>
      </c>
      <c r="F215" s="17" t="s">
        <v>544</v>
      </c>
      <c r="G215" s="19" t="s">
        <v>880</v>
      </c>
      <c r="H215" s="18">
        <v>14.493333333333334</v>
      </c>
      <c r="I215" s="17" t="s">
        <v>358</v>
      </c>
      <c r="J215" s="17" t="s">
        <v>143</v>
      </c>
      <c r="K215" s="17"/>
      <c r="L215" s="17"/>
      <c r="M215" s="16" t="str">
        <f>HYPERLINK("http://slimages.macys.com/is/image/MCY/19486565 ")</f>
        <v xml:space="preserve">http://slimages.macys.com/is/image/MCY/19486565 </v>
      </c>
      <c r="N215" s="30"/>
    </row>
    <row r="216" spans="1:14" ht="60" x14ac:dyDescent="0.25">
      <c r="A216" s="19" t="s">
        <v>2754</v>
      </c>
      <c r="B216" s="17" t="s">
        <v>2753</v>
      </c>
      <c r="C216" s="20">
        <v>1</v>
      </c>
      <c r="D216" s="18">
        <v>69</v>
      </c>
      <c r="E216" s="20">
        <v>10763860</v>
      </c>
      <c r="F216" s="17" t="s">
        <v>23</v>
      </c>
      <c r="G216" s="19" t="s">
        <v>116</v>
      </c>
      <c r="H216" s="18">
        <v>14.26</v>
      </c>
      <c r="I216" s="17" t="s">
        <v>144</v>
      </c>
      <c r="J216" s="17" t="s">
        <v>143</v>
      </c>
      <c r="K216" s="17"/>
      <c r="L216" s="17"/>
      <c r="M216" s="16" t="str">
        <f>HYPERLINK("http://slimages.macys.com/is/image/MCY/18301576 ")</f>
        <v xml:space="preserve">http://slimages.macys.com/is/image/MCY/18301576 </v>
      </c>
      <c r="N216" s="30"/>
    </row>
    <row r="217" spans="1:14" ht="60" x14ac:dyDescent="0.25">
      <c r="A217" s="19" t="s">
        <v>3689</v>
      </c>
      <c r="B217" s="17" t="s">
        <v>3688</v>
      </c>
      <c r="C217" s="20">
        <v>1</v>
      </c>
      <c r="D217" s="18">
        <v>69</v>
      </c>
      <c r="E217" s="20">
        <v>10763860</v>
      </c>
      <c r="F217" s="17" t="s">
        <v>23</v>
      </c>
      <c r="G217" s="19" t="s">
        <v>857</v>
      </c>
      <c r="H217" s="18">
        <v>14.26</v>
      </c>
      <c r="I217" s="17" t="s">
        <v>144</v>
      </c>
      <c r="J217" s="17" t="s">
        <v>143</v>
      </c>
      <c r="K217" s="17"/>
      <c r="L217" s="17"/>
      <c r="M217" s="16" t="str">
        <f>HYPERLINK("http://slimages.macys.com/is/image/MCY/18301576 ")</f>
        <v xml:space="preserve">http://slimages.macys.com/is/image/MCY/18301576 </v>
      </c>
      <c r="N217" s="30"/>
    </row>
    <row r="218" spans="1:14" ht="60" x14ac:dyDescent="0.25">
      <c r="A218" s="19" t="s">
        <v>3687</v>
      </c>
      <c r="B218" s="17" t="s">
        <v>3686</v>
      </c>
      <c r="C218" s="20">
        <v>1</v>
      </c>
      <c r="D218" s="18">
        <v>69.5</v>
      </c>
      <c r="E218" s="20" t="s">
        <v>3677</v>
      </c>
      <c r="F218" s="17" t="s">
        <v>51</v>
      </c>
      <c r="G218" s="19" t="s">
        <v>197</v>
      </c>
      <c r="H218" s="18">
        <v>14.000000000000002</v>
      </c>
      <c r="I218" s="17" t="s">
        <v>106</v>
      </c>
      <c r="J218" s="17" t="s">
        <v>105</v>
      </c>
      <c r="K218" s="17"/>
      <c r="L218" s="17"/>
      <c r="M218" s="16" t="str">
        <f>HYPERLINK("http://slimages.macys.com/is/image/MCY/19027336 ")</f>
        <v xml:space="preserve">http://slimages.macys.com/is/image/MCY/19027336 </v>
      </c>
      <c r="N218" s="30"/>
    </row>
    <row r="219" spans="1:14" ht="60" x14ac:dyDescent="0.25">
      <c r="A219" s="19" t="s">
        <v>3685</v>
      </c>
      <c r="B219" s="17" t="s">
        <v>3684</v>
      </c>
      <c r="C219" s="20">
        <v>1</v>
      </c>
      <c r="D219" s="18">
        <v>69.5</v>
      </c>
      <c r="E219" s="20" t="s">
        <v>3683</v>
      </c>
      <c r="F219" s="17" t="s">
        <v>51</v>
      </c>
      <c r="G219" s="19" t="s">
        <v>74</v>
      </c>
      <c r="H219" s="18">
        <v>14.000000000000002</v>
      </c>
      <c r="I219" s="17" t="s">
        <v>106</v>
      </c>
      <c r="J219" s="17" t="s">
        <v>105</v>
      </c>
      <c r="K219" s="17"/>
      <c r="L219" s="17"/>
      <c r="M219" s="16" t="str">
        <f>HYPERLINK("http://slimages.macys.com/is/image/MCY/19386350 ")</f>
        <v xml:space="preserve">http://slimages.macys.com/is/image/MCY/19386350 </v>
      </c>
      <c r="N219" s="30"/>
    </row>
    <row r="220" spans="1:14" ht="60" x14ac:dyDescent="0.25">
      <c r="A220" s="19" t="s">
        <v>3682</v>
      </c>
      <c r="B220" s="17" t="s">
        <v>3681</v>
      </c>
      <c r="C220" s="20">
        <v>1</v>
      </c>
      <c r="D220" s="18">
        <v>69.5</v>
      </c>
      <c r="E220" s="20" t="s">
        <v>3680</v>
      </c>
      <c r="F220" s="17" t="s">
        <v>51</v>
      </c>
      <c r="G220" s="19" t="s">
        <v>698</v>
      </c>
      <c r="H220" s="18">
        <v>14.000000000000002</v>
      </c>
      <c r="I220" s="17" t="s">
        <v>106</v>
      </c>
      <c r="J220" s="17" t="s">
        <v>105</v>
      </c>
      <c r="K220" s="17"/>
      <c r="L220" s="17"/>
      <c r="M220" s="16" t="str">
        <f>HYPERLINK("http://slimages.macys.com/is/image/MCY/17788211 ")</f>
        <v xml:space="preserve">http://slimages.macys.com/is/image/MCY/17788211 </v>
      </c>
      <c r="N220" s="30"/>
    </row>
    <row r="221" spans="1:14" ht="60" x14ac:dyDescent="0.25">
      <c r="A221" s="19" t="s">
        <v>3679</v>
      </c>
      <c r="B221" s="17" t="s">
        <v>3678</v>
      </c>
      <c r="C221" s="20">
        <v>1</v>
      </c>
      <c r="D221" s="18">
        <v>69.5</v>
      </c>
      <c r="E221" s="20" t="s">
        <v>3677</v>
      </c>
      <c r="F221" s="17" t="s">
        <v>51</v>
      </c>
      <c r="G221" s="19" t="s">
        <v>74</v>
      </c>
      <c r="H221" s="18">
        <v>14.000000000000002</v>
      </c>
      <c r="I221" s="17" t="s">
        <v>106</v>
      </c>
      <c r="J221" s="17" t="s">
        <v>105</v>
      </c>
      <c r="K221" s="17"/>
      <c r="L221" s="17"/>
      <c r="M221" s="16" t="str">
        <f>HYPERLINK("http://slimages.macys.com/is/image/MCY/19027336 ")</f>
        <v xml:space="preserve">http://slimages.macys.com/is/image/MCY/19027336 </v>
      </c>
      <c r="N221" s="30"/>
    </row>
    <row r="222" spans="1:14" ht="60" x14ac:dyDescent="0.25">
      <c r="A222" s="19" t="s">
        <v>3676</v>
      </c>
      <c r="B222" s="17" t="s">
        <v>3675</v>
      </c>
      <c r="C222" s="20">
        <v>1</v>
      </c>
      <c r="D222" s="18">
        <v>69.5</v>
      </c>
      <c r="E222" s="20" t="s">
        <v>3674</v>
      </c>
      <c r="F222" s="17" t="s">
        <v>433</v>
      </c>
      <c r="G222" s="19" t="s">
        <v>197</v>
      </c>
      <c r="H222" s="18">
        <v>14.000000000000002</v>
      </c>
      <c r="I222" s="17" t="s">
        <v>106</v>
      </c>
      <c r="J222" s="17" t="s">
        <v>105</v>
      </c>
      <c r="K222" s="17" t="s">
        <v>389</v>
      </c>
      <c r="L222" s="17" t="s">
        <v>1359</v>
      </c>
      <c r="M222" s="16" t="str">
        <f>HYPERLINK("http://slimages.macys.com/is/image/MCY/18474671 ")</f>
        <v xml:space="preserve">http://slimages.macys.com/is/image/MCY/18474671 </v>
      </c>
      <c r="N222" s="30"/>
    </row>
    <row r="223" spans="1:14" ht="60" x14ac:dyDescent="0.25">
      <c r="A223" s="19" t="s">
        <v>3673</v>
      </c>
      <c r="B223" s="17" t="s">
        <v>3672</v>
      </c>
      <c r="C223" s="20">
        <v>1</v>
      </c>
      <c r="D223" s="18">
        <v>69</v>
      </c>
      <c r="E223" s="20">
        <v>10817198</v>
      </c>
      <c r="F223" s="17" t="s">
        <v>575</v>
      </c>
      <c r="G223" s="19" t="s">
        <v>351</v>
      </c>
      <c r="H223" s="18">
        <v>13.799999999999999</v>
      </c>
      <c r="I223" s="17" t="s">
        <v>358</v>
      </c>
      <c r="J223" s="17" t="s">
        <v>554</v>
      </c>
      <c r="K223" s="17"/>
      <c r="L223" s="17"/>
      <c r="M223" s="16" t="str">
        <f>HYPERLINK("http://slimages.macys.com/is/image/MCY/19382272 ")</f>
        <v xml:space="preserve">http://slimages.macys.com/is/image/MCY/19382272 </v>
      </c>
      <c r="N223" s="30"/>
    </row>
    <row r="224" spans="1:14" ht="60" x14ac:dyDescent="0.25">
      <c r="A224" s="19" t="s">
        <v>3671</v>
      </c>
      <c r="B224" s="17" t="s">
        <v>3670</v>
      </c>
      <c r="C224" s="20">
        <v>1</v>
      </c>
      <c r="D224" s="18">
        <v>79</v>
      </c>
      <c r="E224" s="20" t="s">
        <v>3669</v>
      </c>
      <c r="F224" s="17" t="s">
        <v>51</v>
      </c>
      <c r="G224" s="19" t="s">
        <v>1402</v>
      </c>
      <c r="H224" s="18">
        <v>13.666666666666666</v>
      </c>
      <c r="I224" s="17" t="s">
        <v>550</v>
      </c>
      <c r="J224" s="17" t="s">
        <v>1090</v>
      </c>
      <c r="K224" s="17"/>
      <c r="L224" s="17"/>
      <c r="M224" s="16" t="str">
        <f>HYPERLINK("http://slimages.macys.com/is/image/MCY/17942386 ")</f>
        <v xml:space="preserve">http://slimages.macys.com/is/image/MCY/17942386 </v>
      </c>
      <c r="N224" s="30"/>
    </row>
    <row r="225" spans="1:14" ht="60" x14ac:dyDescent="0.25">
      <c r="A225" s="19" t="s">
        <v>3668</v>
      </c>
      <c r="B225" s="17" t="s">
        <v>3667</v>
      </c>
      <c r="C225" s="20">
        <v>1</v>
      </c>
      <c r="D225" s="18">
        <v>69</v>
      </c>
      <c r="E225" s="20">
        <v>10551766</v>
      </c>
      <c r="F225" s="17" t="s">
        <v>51</v>
      </c>
      <c r="G225" s="19" t="s">
        <v>116</v>
      </c>
      <c r="H225" s="18">
        <v>13.34</v>
      </c>
      <c r="I225" s="17" t="s">
        <v>144</v>
      </c>
      <c r="J225" s="17" t="s">
        <v>143</v>
      </c>
      <c r="K225" s="17" t="s">
        <v>389</v>
      </c>
      <c r="L225" s="17" t="s">
        <v>1167</v>
      </c>
      <c r="M225" s="16" t="str">
        <f>HYPERLINK("http://slimages.macys.com/is/image/MCY/2659502 ")</f>
        <v xml:space="preserve">http://slimages.macys.com/is/image/MCY/2659502 </v>
      </c>
      <c r="N225" s="30"/>
    </row>
    <row r="226" spans="1:14" ht="72" x14ac:dyDescent="0.25">
      <c r="A226" s="19" t="s">
        <v>3666</v>
      </c>
      <c r="B226" s="17" t="s">
        <v>3665</v>
      </c>
      <c r="C226" s="20">
        <v>1</v>
      </c>
      <c r="D226" s="18">
        <v>69</v>
      </c>
      <c r="E226" s="20">
        <v>10543042</v>
      </c>
      <c r="F226" s="17" t="s">
        <v>51</v>
      </c>
      <c r="G226" s="19" t="s">
        <v>698</v>
      </c>
      <c r="H226" s="18">
        <v>13.34</v>
      </c>
      <c r="I226" s="17" t="s">
        <v>144</v>
      </c>
      <c r="J226" s="17" t="s">
        <v>143</v>
      </c>
      <c r="K226" s="17" t="s">
        <v>389</v>
      </c>
      <c r="L226" s="17" t="s">
        <v>3664</v>
      </c>
      <c r="M226" s="16" t="str">
        <f>HYPERLINK("http://slimages.macys.com/is/image/MCY/2659501 ")</f>
        <v xml:space="preserve">http://slimages.macys.com/is/image/MCY/2659501 </v>
      </c>
      <c r="N226" s="30"/>
    </row>
    <row r="227" spans="1:14" ht="60" x14ac:dyDescent="0.25">
      <c r="A227" s="19" t="s">
        <v>3663</v>
      </c>
      <c r="B227" s="17" t="s">
        <v>3662</v>
      </c>
      <c r="C227" s="20">
        <v>7</v>
      </c>
      <c r="D227" s="18">
        <v>74</v>
      </c>
      <c r="E227" s="20" t="s">
        <v>1936</v>
      </c>
      <c r="F227" s="17" t="s">
        <v>1382</v>
      </c>
      <c r="G227" s="19" t="s">
        <v>197</v>
      </c>
      <c r="H227" s="18">
        <v>13.333333333333334</v>
      </c>
      <c r="I227" s="17" t="s">
        <v>148</v>
      </c>
      <c r="J227" s="17" t="s">
        <v>409</v>
      </c>
      <c r="K227" s="17"/>
      <c r="L227" s="17"/>
      <c r="M227" s="16" t="str">
        <f>HYPERLINK("http://slimages.macys.com/is/image/MCY/18860435 ")</f>
        <v xml:space="preserve">http://slimages.macys.com/is/image/MCY/18860435 </v>
      </c>
      <c r="N227" s="30"/>
    </row>
    <row r="228" spans="1:14" ht="60" x14ac:dyDescent="0.25">
      <c r="A228" s="19" t="s">
        <v>3661</v>
      </c>
      <c r="B228" s="17" t="s">
        <v>3660</v>
      </c>
      <c r="C228" s="20">
        <v>1</v>
      </c>
      <c r="D228" s="18">
        <v>52.49</v>
      </c>
      <c r="E228" s="20" t="s">
        <v>3659</v>
      </c>
      <c r="F228" s="17" t="s">
        <v>28</v>
      </c>
      <c r="G228" s="19" t="s">
        <v>1191</v>
      </c>
      <c r="H228" s="18">
        <v>13.206666666666667</v>
      </c>
      <c r="I228" s="17" t="s">
        <v>358</v>
      </c>
      <c r="J228" s="17" t="s">
        <v>32</v>
      </c>
      <c r="K228" s="17" t="s">
        <v>389</v>
      </c>
      <c r="L228" s="17" t="s">
        <v>3658</v>
      </c>
      <c r="M228" s="16" t="str">
        <f>HYPERLINK("http://slimages.macys.com/is/image/MCY/11714609 ")</f>
        <v xml:space="preserve">http://slimages.macys.com/is/image/MCY/11714609 </v>
      </c>
      <c r="N228" s="30"/>
    </row>
    <row r="229" spans="1:14" ht="60" x14ac:dyDescent="0.25">
      <c r="A229" s="19" t="s">
        <v>3657</v>
      </c>
      <c r="B229" s="17" t="s">
        <v>3656</v>
      </c>
      <c r="C229" s="20">
        <v>1</v>
      </c>
      <c r="D229" s="18">
        <v>99</v>
      </c>
      <c r="E229" s="20" t="s">
        <v>1931</v>
      </c>
      <c r="F229" s="17" t="s">
        <v>51</v>
      </c>
      <c r="G229" s="19" t="s">
        <v>749</v>
      </c>
      <c r="H229" s="18">
        <v>13.200000000000001</v>
      </c>
      <c r="I229" s="17" t="s">
        <v>678</v>
      </c>
      <c r="J229" s="17" t="s">
        <v>404</v>
      </c>
      <c r="K229" s="17"/>
      <c r="L229" s="17"/>
      <c r="M229" s="16" t="str">
        <f>HYPERLINK("http://slimages.macys.com/is/image/MCY/19087756 ")</f>
        <v xml:space="preserve">http://slimages.macys.com/is/image/MCY/19087756 </v>
      </c>
      <c r="N229" s="30"/>
    </row>
    <row r="230" spans="1:14" ht="60" x14ac:dyDescent="0.25">
      <c r="A230" s="19" t="s">
        <v>3655</v>
      </c>
      <c r="B230" s="17" t="s">
        <v>3654</v>
      </c>
      <c r="C230" s="20">
        <v>1</v>
      </c>
      <c r="D230" s="18">
        <v>79</v>
      </c>
      <c r="E230" s="20" t="s">
        <v>3646</v>
      </c>
      <c r="F230" s="17" t="s">
        <v>544</v>
      </c>
      <c r="G230" s="19" t="s">
        <v>101</v>
      </c>
      <c r="H230" s="18">
        <v>13.166666666666668</v>
      </c>
      <c r="I230" s="17" t="s">
        <v>129</v>
      </c>
      <c r="J230" s="17" t="s">
        <v>128</v>
      </c>
      <c r="K230" s="17"/>
      <c r="L230" s="17"/>
      <c r="M230" s="16" t="str">
        <f>HYPERLINK("http://slimages.macys.com/is/image/MCY/18610067 ")</f>
        <v xml:space="preserve">http://slimages.macys.com/is/image/MCY/18610067 </v>
      </c>
      <c r="N230" s="30"/>
    </row>
    <row r="231" spans="1:14" ht="60" x14ac:dyDescent="0.25">
      <c r="A231" s="19" t="s">
        <v>1925</v>
      </c>
      <c r="B231" s="17" t="s">
        <v>1924</v>
      </c>
      <c r="C231" s="20">
        <v>1</v>
      </c>
      <c r="D231" s="18">
        <v>79</v>
      </c>
      <c r="E231" s="20" t="s">
        <v>1923</v>
      </c>
      <c r="F231" s="17" t="s">
        <v>91</v>
      </c>
      <c r="G231" s="19" t="s">
        <v>22</v>
      </c>
      <c r="H231" s="18">
        <v>13.166666666666668</v>
      </c>
      <c r="I231" s="17" t="s">
        <v>129</v>
      </c>
      <c r="J231" s="17" t="s">
        <v>128</v>
      </c>
      <c r="K231" s="17"/>
      <c r="L231" s="17"/>
      <c r="M231" s="16" t="str">
        <f>HYPERLINK("http://slimages.macys.com/is/image/MCY/19114679 ")</f>
        <v xml:space="preserve">http://slimages.macys.com/is/image/MCY/19114679 </v>
      </c>
      <c r="N231" s="30"/>
    </row>
    <row r="232" spans="1:14" ht="60" x14ac:dyDescent="0.25">
      <c r="A232" s="19" t="s">
        <v>3653</v>
      </c>
      <c r="B232" s="17" t="s">
        <v>3652</v>
      </c>
      <c r="C232" s="20">
        <v>1</v>
      </c>
      <c r="D232" s="18">
        <v>79</v>
      </c>
      <c r="E232" s="20" t="s">
        <v>3651</v>
      </c>
      <c r="F232" s="17" t="s">
        <v>1382</v>
      </c>
      <c r="G232" s="19" t="s">
        <v>50</v>
      </c>
      <c r="H232" s="18">
        <v>13.166666666666668</v>
      </c>
      <c r="I232" s="17" t="s">
        <v>129</v>
      </c>
      <c r="J232" s="17" t="s">
        <v>2842</v>
      </c>
      <c r="K232" s="17"/>
      <c r="L232" s="17"/>
      <c r="M232" s="16" t="str">
        <f>HYPERLINK("http://slimages.macys.com/is/image/MCY/18965884 ")</f>
        <v xml:space="preserve">http://slimages.macys.com/is/image/MCY/18965884 </v>
      </c>
      <c r="N232" s="30"/>
    </row>
    <row r="233" spans="1:14" ht="60" x14ac:dyDescent="0.25">
      <c r="A233" s="19" t="s">
        <v>3650</v>
      </c>
      <c r="B233" s="17" t="s">
        <v>3649</v>
      </c>
      <c r="C233" s="20">
        <v>1</v>
      </c>
      <c r="D233" s="18">
        <v>79</v>
      </c>
      <c r="E233" s="20" t="s">
        <v>3638</v>
      </c>
      <c r="F233" s="17" t="s">
        <v>578</v>
      </c>
      <c r="G233" s="19" t="s">
        <v>43</v>
      </c>
      <c r="H233" s="18">
        <v>13.166666666666668</v>
      </c>
      <c r="I233" s="17" t="s">
        <v>129</v>
      </c>
      <c r="J233" s="17" t="s">
        <v>128</v>
      </c>
      <c r="K233" s="17"/>
      <c r="L233" s="17"/>
      <c r="M233" s="16" t="str">
        <f>HYPERLINK("http://slimages.macys.com/is/image/MCY/19144457 ")</f>
        <v xml:space="preserve">http://slimages.macys.com/is/image/MCY/19144457 </v>
      </c>
      <c r="N233" s="30"/>
    </row>
    <row r="234" spans="1:14" ht="60" x14ac:dyDescent="0.25">
      <c r="A234" s="19" t="s">
        <v>3648</v>
      </c>
      <c r="B234" s="17" t="s">
        <v>3647</v>
      </c>
      <c r="C234" s="20">
        <v>1</v>
      </c>
      <c r="D234" s="18">
        <v>79</v>
      </c>
      <c r="E234" s="20" t="s">
        <v>3646</v>
      </c>
      <c r="F234" s="17" t="s">
        <v>544</v>
      </c>
      <c r="G234" s="19" t="s">
        <v>17</v>
      </c>
      <c r="H234" s="18">
        <v>13.166666666666668</v>
      </c>
      <c r="I234" s="17" t="s">
        <v>129</v>
      </c>
      <c r="J234" s="17" t="s">
        <v>128</v>
      </c>
      <c r="K234" s="17"/>
      <c r="L234" s="17"/>
      <c r="M234" s="16" t="str">
        <f>HYPERLINK("http://slimages.macys.com/is/image/MCY/18610067 ")</f>
        <v xml:space="preserve">http://slimages.macys.com/is/image/MCY/18610067 </v>
      </c>
      <c r="N234" s="30"/>
    </row>
    <row r="235" spans="1:14" ht="60" x14ac:dyDescent="0.25">
      <c r="A235" s="19" t="s">
        <v>3645</v>
      </c>
      <c r="B235" s="17" t="s">
        <v>3644</v>
      </c>
      <c r="C235" s="20">
        <v>1</v>
      </c>
      <c r="D235" s="18">
        <v>79</v>
      </c>
      <c r="E235" s="20">
        <v>7021203</v>
      </c>
      <c r="F235" s="17" t="s">
        <v>91</v>
      </c>
      <c r="G235" s="19" t="s">
        <v>17</v>
      </c>
      <c r="H235" s="18">
        <v>13.166666666666668</v>
      </c>
      <c r="I235" s="17" t="s">
        <v>111</v>
      </c>
      <c r="J235" s="17" t="s">
        <v>110</v>
      </c>
      <c r="K235" s="17" t="s">
        <v>637</v>
      </c>
      <c r="L235" s="17" t="s">
        <v>3643</v>
      </c>
      <c r="M235" s="16" t="str">
        <f>HYPERLINK("http://images.bloomingdales.com/is/image/BLM/11299605 ")</f>
        <v xml:space="preserve">http://images.bloomingdales.com/is/image/BLM/11299605 </v>
      </c>
      <c r="N235" s="30"/>
    </row>
    <row r="236" spans="1:14" ht="60" x14ac:dyDescent="0.25">
      <c r="A236" s="19" t="s">
        <v>3642</v>
      </c>
      <c r="B236" s="17" t="s">
        <v>3641</v>
      </c>
      <c r="C236" s="20">
        <v>1</v>
      </c>
      <c r="D236" s="18">
        <v>79</v>
      </c>
      <c r="E236" s="20">
        <v>7030105</v>
      </c>
      <c r="F236" s="17" t="s">
        <v>140</v>
      </c>
      <c r="G236" s="19" t="s">
        <v>22</v>
      </c>
      <c r="H236" s="18">
        <v>13.166666666666668</v>
      </c>
      <c r="I236" s="17" t="s">
        <v>111</v>
      </c>
      <c r="J236" s="17" t="s">
        <v>110</v>
      </c>
      <c r="K236" s="17"/>
      <c r="L236" s="17"/>
      <c r="M236" s="16" t="str">
        <f>HYPERLINK("http://slimages.macys.com/is/image/MCY/17158929 ")</f>
        <v xml:space="preserve">http://slimages.macys.com/is/image/MCY/17158929 </v>
      </c>
      <c r="N236" s="30"/>
    </row>
    <row r="237" spans="1:14" ht="60" x14ac:dyDescent="0.25">
      <c r="A237" s="19" t="s">
        <v>3640</v>
      </c>
      <c r="B237" s="17" t="s">
        <v>3639</v>
      </c>
      <c r="C237" s="20">
        <v>1</v>
      </c>
      <c r="D237" s="18">
        <v>79</v>
      </c>
      <c r="E237" s="20" t="s">
        <v>3638</v>
      </c>
      <c r="F237" s="17" t="s">
        <v>578</v>
      </c>
      <c r="G237" s="19" t="s">
        <v>22</v>
      </c>
      <c r="H237" s="18">
        <v>13.166666666666668</v>
      </c>
      <c r="I237" s="17" t="s">
        <v>129</v>
      </c>
      <c r="J237" s="17" t="s">
        <v>128</v>
      </c>
      <c r="K237" s="17"/>
      <c r="L237" s="17"/>
      <c r="M237" s="16" t="str">
        <f>HYPERLINK("http://slimages.macys.com/is/image/MCY/19144457 ")</f>
        <v xml:space="preserve">http://slimages.macys.com/is/image/MCY/19144457 </v>
      </c>
      <c r="N237" s="30"/>
    </row>
    <row r="238" spans="1:14" ht="60" x14ac:dyDescent="0.25">
      <c r="A238" s="19" t="s">
        <v>3637</v>
      </c>
      <c r="B238" s="17" t="s">
        <v>3636</v>
      </c>
      <c r="C238" s="20">
        <v>1</v>
      </c>
      <c r="D238" s="18">
        <v>79</v>
      </c>
      <c r="E238" s="20" t="s">
        <v>1923</v>
      </c>
      <c r="F238" s="17" t="s">
        <v>508</v>
      </c>
      <c r="G238" s="19" t="s">
        <v>17</v>
      </c>
      <c r="H238" s="18">
        <v>13.166666666666668</v>
      </c>
      <c r="I238" s="17" t="s">
        <v>129</v>
      </c>
      <c r="J238" s="17" t="s">
        <v>128</v>
      </c>
      <c r="K238" s="17"/>
      <c r="L238" s="17"/>
      <c r="M238" s="16" t="str">
        <f>HYPERLINK("http://slimages.macys.com/is/image/MCY/19114679 ")</f>
        <v xml:space="preserve">http://slimages.macys.com/is/image/MCY/19114679 </v>
      </c>
      <c r="N238" s="30"/>
    </row>
    <row r="239" spans="1:14" ht="60" x14ac:dyDescent="0.25">
      <c r="A239" s="19" t="s">
        <v>3635</v>
      </c>
      <c r="B239" s="17" t="s">
        <v>3634</v>
      </c>
      <c r="C239" s="20">
        <v>1</v>
      </c>
      <c r="D239" s="18">
        <v>59.5</v>
      </c>
      <c r="E239" s="20" t="s">
        <v>3633</v>
      </c>
      <c r="F239" s="17" t="s">
        <v>23</v>
      </c>
      <c r="G239" s="19" t="s">
        <v>69</v>
      </c>
      <c r="H239" s="18">
        <v>13.093333333333334</v>
      </c>
      <c r="I239" s="17" t="s">
        <v>654</v>
      </c>
      <c r="J239" s="17" t="s">
        <v>653</v>
      </c>
      <c r="K239" s="17"/>
      <c r="L239" s="17"/>
      <c r="M239" s="16" t="str">
        <f>HYPERLINK("http://slimages.macys.com/is/image/MCY/19676615 ")</f>
        <v xml:space="preserve">http://slimages.macys.com/is/image/MCY/19676615 </v>
      </c>
      <c r="N239" s="30"/>
    </row>
    <row r="240" spans="1:14" ht="60" x14ac:dyDescent="0.25">
      <c r="A240" s="19" t="s">
        <v>3632</v>
      </c>
      <c r="B240" s="17" t="s">
        <v>3631</v>
      </c>
      <c r="C240" s="20">
        <v>2</v>
      </c>
      <c r="D240" s="18">
        <v>69.5</v>
      </c>
      <c r="E240" s="20" t="s">
        <v>3601</v>
      </c>
      <c r="F240" s="17" t="s">
        <v>216</v>
      </c>
      <c r="G240" s="19" t="s">
        <v>139</v>
      </c>
      <c r="H240" s="18">
        <v>13.086666666666668</v>
      </c>
      <c r="I240" s="17" t="s">
        <v>1891</v>
      </c>
      <c r="J240" s="17" t="s">
        <v>67</v>
      </c>
      <c r="K240" s="17"/>
      <c r="L240" s="17"/>
      <c r="M240" s="16" t="str">
        <f>HYPERLINK("http://slimages.macys.com/is/image/MCY/18981762 ")</f>
        <v xml:space="preserve">http://slimages.macys.com/is/image/MCY/18981762 </v>
      </c>
      <c r="N240" s="30"/>
    </row>
    <row r="241" spans="1:14" ht="60" x14ac:dyDescent="0.25">
      <c r="A241" s="19" t="s">
        <v>3630</v>
      </c>
      <c r="B241" s="17" t="s">
        <v>3629</v>
      </c>
      <c r="C241" s="20">
        <v>2</v>
      </c>
      <c r="D241" s="18">
        <v>69.5</v>
      </c>
      <c r="E241" s="20" t="s">
        <v>3601</v>
      </c>
      <c r="F241" s="17" t="s">
        <v>216</v>
      </c>
      <c r="G241" s="19" t="s">
        <v>271</v>
      </c>
      <c r="H241" s="18">
        <v>13.086666666666668</v>
      </c>
      <c r="I241" s="17" t="s">
        <v>1891</v>
      </c>
      <c r="J241" s="17" t="s">
        <v>67</v>
      </c>
      <c r="K241" s="17"/>
      <c r="L241" s="17"/>
      <c r="M241" s="16" t="str">
        <f>HYPERLINK("http://slimages.macys.com/is/image/MCY/18981762 ")</f>
        <v xml:space="preserve">http://slimages.macys.com/is/image/MCY/18981762 </v>
      </c>
      <c r="N241" s="30"/>
    </row>
    <row r="242" spans="1:14" ht="60" x14ac:dyDescent="0.25">
      <c r="A242" s="19" t="s">
        <v>3628</v>
      </c>
      <c r="B242" s="17" t="s">
        <v>3627</v>
      </c>
      <c r="C242" s="20">
        <v>1</v>
      </c>
      <c r="D242" s="18">
        <v>69.5</v>
      </c>
      <c r="E242" s="20" t="s">
        <v>3626</v>
      </c>
      <c r="F242" s="17" t="s">
        <v>63</v>
      </c>
      <c r="G242" s="19"/>
      <c r="H242" s="18">
        <v>13.086666666666668</v>
      </c>
      <c r="I242" s="17" t="s">
        <v>1891</v>
      </c>
      <c r="J242" s="17" t="s">
        <v>2435</v>
      </c>
      <c r="K242" s="17"/>
      <c r="L242" s="17"/>
      <c r="M242" s="16" t="str">
        <f>HYPERLINK("http://slimages.macys.com/is/image/MCY/19046856 ")</f>
        <v xml:space="preserve">http://slimages.macys.com/is/image/MCY/19046856 </v>
      </c>
      <c r="N242" s="30"/>
    </row>
    <row r="243" spans="1:14" ht="60" x14ac:dyDescent="0.25">
      <c r="A243" s="19" t="s">
        <v>3625</v>
      </c>
      <c r="B243" s="17" t="s">
        <v>3624</v>
      </c>
      <c r="C243" s="20">
        <v>1</v>
      </c>
      <c r="D243" s="18">
        <v>69.5</v>
      </c>
      <c r="E243" s="20" t="s">
        <v>3623</v>
      </c>
      <c r="F243" s="17" t="s">
        <v>28</v>
      </c>
      <c r="G243" s="19" t="s">
        <v>351</v>
      </c>
      <c r="H243" s="18">
        <v>13.086666666666668</v>
      </c>
      <c r="I243" s="17" t="s">
        <v>1891</v>
      </c>
      <c r="J243" s="17" t="s">
        <v>2435</v>
      </c>
      <c r="K243" s="17"/>
      <c r="L243" s="17"/>
      <c r="M243" s="16" t="str">
        <f>HYPERLINK("http://slimages.macys.com/is/image/MCY/19191238 ")</f>
        <v xml:space="preserve">http://slimages.macys.com/is/image/MCY/19191238 </v>
      </c>
      <c r="N243" s="30"/>
    </row>
    <row r="244" spans="1:14" ht="60" x14ac:dyDescent="0.25">
      <c r="A244" s="19" t="s">
        <v>3622</v>
      </c>
      <c r="B244" s="17" t="s">
        <v>3621</v>
      </c>
      <c r="C244" s="20">
        <v>1</v>
      </c>
      <c r="D244" s="18">
        <v>69.5</v>
      </c>
      <c r="E244" s="20" t="s">
        <v>3620</v>
      </c>
      <c r="F244" s="17" t="s">
        <v>58</v>
      </c>
      <c r="G244" s="19" t="s">
        <v>351</v>
      </c>
      <c r="H244" s="18">
        <v>13.086666666666668</v>
      </c>
      <c r="I244" s="17" t="s">
        <v>1891</v>
      </c>
      <c r="J244" s="17" t="s">
        <v>2435</v>
      </c>
      <c r="K244" s="17"/>
      <c r="L244" s="17"/>
      <c r="M244" s="16" t="str">
        <f>HYPERLINK("http://slimages.macys.com/is/image/MCY/19190044 ")</f>
        <v xml:space="preserve">http://slimages.macys.com/is/image/MCY/19190044 </v>
      </c>
      <c r="N244" s="30"/>
    </row>
    <row r="245" spans="1:14" ht="60" x14ac:dyDescent="0.25">
      <c r="A245" s="19" t="s">
        <v>3619</v>
      </c>
      <c r="B245" s="17" t="s">
        <v>3618</v>
      </c>
      <c r="C245" s="20">
        <v>1</v>
      </c>
      <c r="D245" s="18">
        <v>69.5</v>
      </c>
      <c r="E245" s="20" t="s">
        <v>452</v>
      </c>
      <c r="F245" s="17" t="s">
        <v>91</v>
      </c>
      <c r="G245" s="19" t="s">
        <v>69</v>
      </c>
      <c r="H245" s="18">
        <v>13.086666666666668</v>
      </c>
      <c r="I245" s="17" t="s">
        <v>56</v>
      </c>
      <c r="J245" s="17" t="s">
        <v>55</v>
      </c>
      <c r="K245" s="17"/>
      <c r="L245" s="17"/>
      <c r="M245" s="16" t="str">
        <f>HYPERLINK("http://slimages.macys.com/is/image/MCY/19395484 ")</f>
        <v xml:space="preserve">http://slimages.macys.com/is/image/MCY/19395484 </v>
      </c>
      <c r="N245" s="30"/>
    </row>
    <row r="246" spans="1:14" ht="60" x14ac:dyDescent="0.25">
      <c r="A246" s="19" t="s">
        <v>3617</v>
      </c>
      <c r="B246" s="17" t="s">
        <v>3616</v>
      </c>
      <c r="C246" s="20">
        <v>2</v>
      </c>
      <c r="D246" s="18">
        <v>69.5</v>
      </c>
      <c r="E246" s="20" t="s">
        <v>452</v>
      </c>
      <c r="F246" s="17" t="s">
        <v>91</v>
      </c>
      <c r="G246" s="19" t="s">
        <v>74</v>
      </c>
      <c r="H246" s="18">
        <v>13.086666666666668</v>
      </c>
      <c r="I246" s="17" t="s">
        <v>56</v>
      </c>
      <c r="J246" s="17" t="s">
        <v>55</v>
      </c>
      <c r="K246" s="17"/>
      <c r="L246" s="17"/>
      <c r="M246" s="16" t="str">
        <f>HYPERLINK("http://slimages.macys.com/is/image/MCY/19395484 ")</f>
        <v xml:space="preserve">http://slimages.macys.com/is/image/MCY/19395484 </v>
      </c>
      <c r="N246" s="30"/>
    </row>
    <row r="247" spans="1:14" ht="60" x14ac:dyDescent="0.25">
      <c r="A247" s="19" t="s">
        <v>3615</v>
      </c>
      <c r="B247" s="17" t="s">
        <v>3614</v>
      </c>
      <c r="C247" s="20">
        <v>1</v>
      </c>
      <c r="D247" s="18">
        <v>69.5</v>
      </c>
      <c r="E247" s="20" t="s">
        <v>452</v>
      </c>
      <c r="F247" s="17" t="s">
        <v>91</v>
      </c>
      <c r="G247" s="19" t="s">
        <v>57</v>
      </c>
      <c r="H247" s="18">
        <v>13.086666666666668</v>
      </c>
      <c r="I247" s="17" t="s">
        <v>56</v>
      </c>
      <c r="J247" s="17" t="s">
        <v>55</v>
      </c>
      <c r="K247" s="17"/>
      <c r="L247" s="17"/>
      <c r="M247" s="16" t="str">
        <f>HYPERLINK("http://slimages.macys.com/is/image/MCY/19395484 ")</f>
        <v xml:space="preserve">http://slimages.macys.com/is/image/MCY/19395484 </v>
      </c>
      <c r="N247" s="30"/>
    </row>
    <row r="248" spans="1:14" ht="60" x14ac:dyDescent="0.25">
      <c r="A248" s="19" t="s">
        <v>3613</v>
      </c>
      <c r="B248" s="17" t="s">
        <v>3612</v>
      </c>
      <c r="C248" s="20">
        <v>2</v>
      </c>
      <c r="D248" s="18">
        <v>69.5</v>
      </c>
      <c r="E248" s="20" t="s">
        <v>452</v>
      </c>
      <c r="F248" s="17" t="s">
        <v>91</v>
      </c>
      <c r="G248" s="19" t="s">
        <v>197</v>
      </c>
      <c r="H248" s="18">
        <v>13.086666666666668</v>
      </c>
      <c r="I248" s="17" t="s">
        <v>56</v>
      </c>
      <c r="J248" s="17" t="s">
        <v>55</v>
      </c>
      <c r="K248" s="17"/>
      <c r="L248" s="17"/>
      <c r="M248" s="16" t="str">
        <f>HYPERLINK("http://slimages.macys.com/is/image/MCY/19395484 ")</f>
        <v xml:space="preserve">http://slimages.macys.com/is/image/MCY/19395484 </v>
      </c>
      <c r="N248" s="30"/>
    </row>
    <row r="249" spans="1:14" ht="60" x14ac:dyDescent="0.25">
      <c r="A249" s="19" t="s">
        <v>3611</v>
      </c>
      <c r="B249" s="17" t="s">
        <v>3610</v>
      </c>
      <c r="C249" s="20">
        <v>1</v>
      </c>
      <c r="D249" s="18">
        <v>69.5</v>
      </c>
      <c r="E249" s="20" t="s">
        <v>3609</v>
      </c>
      <c r="F249" s="17" t="s">
        <v>85</v>
      </c>
      <c r="G249" s="19" t="s">
        <v>139</v>
      </c>
      <c r="H249" s="18">
        <v>13.086666666666668</v>
      </c>
      <c r="I249" s="17" t="s">
        <v>1891</v>
      </c>
      <c r="J249" s="17" t="s">
        <v>67</v>
      </c>
      <c r="K249" s="17"/>
      <c r="L249" s="17"/>
      <c r="M249" s="16" t="str">
        <f>HYPERLINK("http://slimages.macys.com/is/image/MCY/18344571 ")</f>
        <v xml:space="preserve">http://slimages.macys.com/is/image/MCY/18344571 </v>
      </c>
      <c r="N249" s="30"/>
    </row>
    <row r="250" spans="1:14" ht="60" x14ac:dyDescent="0.25">
      <c r="A250" s="19" t="s">
        <v>3608</v>
      </c>
      <c r="B250" s="17" t="s">
        <v>3607</v>
      </c>
      <c r="C250" s="20">
        <v>1</v>
      </c>
      <c r="D250" s="18">
        <v>69.5</v>
      </c>
      <c r="E250" s="20" t="s">
        <v>1160</v>
      </c>
      <c r="F250" s="17" t="s">
        <v>91</v>
      </c>
      <c r="G250" s="19" t="s">
        <v>57</v>
      </c>
      <c r="H250" s="18">
        <v>13.086666666666668</v>
      </c>
      <c r="I250" s="17" t="s">
        <v>68</v>
      </c>
      <c r="J250" s="17" t="s">
        <v>67</v>
      </c>
      <c r="K250" s="17"/>
      <c r="L250" s="17"/>
      <c r="M250" s="16" t="str">
        <f>HYPERLINK("http://slimages.macys.com/is/image/MCY/19744652 ")</f>
        <v xml:space="preserve">http://slimages.macys.com/is/image/MCY/19744652 </v>
      </c>
      <c r="N250" s="30"/>
    </row>
    <row r="251" spans="1:14" ht="60" x14ac:dyDescent="0.25">
      <c r="A251" s="19" t="s">
        <v>3606</v>
      </c>
      <c r="B251" s="17" t="s">
        <v>3605</v>
      </c>
      <c r="C251" s="20">
        <v>1</v>
      </c>
      <c r="D251" s="18">
        <v>69.5</v>
      </c>
      <c r="E251" s="20" t="s">
        <v>3604</v>
      </c>
      <c r="F251" s="17" t="s">
        <v>58</v>
      </c>
      <c r="G251" s="19" t="s">
        <v>69</v>
      </c>
      <c r="H251" s="18">
        <v>13.086666666666668</v>
      </c>
      <c r="I251" s="17" t="s">
        <v>68</v>
      </c>
      <c r="J251" s="17" t="s">
        <v>67</v>
      </c>
      <c r="K251" s="17"/>
      <c r="L251" s="17"/>
      <c r="M251" s="16" t="str">
        <f>HYPERLINK("http://slimages.macys.com/is/image/MCY/18149984 ")</f>
        <v xml:space="preserve">http://slimages.macys.com/is/image/MCY/18149984 </v>
      </c>
      <c r="N251" s="30"/>
    </row>
    <row r="252" spans="1:14" ht="60" x14ac:dyDescent="0.25">
      <c r="A252" s="19" t="s">
        <v>3603</v>
      </c>
      <c r="B252" s="17" t="s">
        <v>3602</v>
      </c>
      <c r="C252" s="20">
        <v>1</v>
      </c>
      <c r="D252" s="18">
        <v>69.5</v>
      </c>
      <c r="E252" s="20" t="s">
        <v>3601</v>
      </c>
      <c r="F252" s="17" t="s">
        <v>216</v>
      </c>
      <c r="G252" s="19" t="s">
        <v>351</v>
      </c>
      <c r="H252" s="18">
        <v>13.086666666666668</v>
      </c>
      <c r="I252" s="17" t="s">
        <v>1891</v>
      </c>
      <c r="J252" s="17" t="s">
        <v>67</v>
      </c>
      <c r="K252" s="17"/>
      <c r="L252" s="17"/>
      <c r="M252" s="16" t="str">
        <f>HYPERLINK("http://slimages.macys.com/is/image/MCY/18981762 ")</f>
        <v xml:space="preserve">http://slimages.macys.com/is/image/MCY/18981762 </v>
      </c>
      <c r="N252" s="30"/>
    </row>
    <row r="253" spans="1:14" ht="60" x14ac:dyDescent="0.25">
      <c r="A253" s="19" t="s">
        <v>3600</v>
      </c>
      <c r="B253" s="17" t="s">
        <v>3599</v>
      </c>
      <c r="C253" s="20">
        <v>1</v>
      </c>
      <c r="D253" s="18">
        <v>69.5</v>
      </c>
      <c r="E253" s="20" t="s">
        <v>3598</v>
      </c>
      <c r="F253" s="17" t="s">
        <v>28</v>
      </c>
      <c r="G253" s="19" t="s">
        <v>69</v>
      </c>
      <c r="H253" s="18">
        <v>13.086666666666668</v>
      </c>
      <c r="I253" s="17" t="s">
        <v>68</v>
      </c>
      <c r="J253" s="17" t="s">
        <v>67</v>
      </c>
      <c r="K253" s="17"/>
      <c r="L253" s="17"/>
      <c r="M253" s="16" t="str">
        <f>HYPERLINK("http://slimages.macys.com/is/image/MCY/19178960 ")</f>
        <v xml:space="preserve">http://slimages.macys.com/is/image/MCY/19178960 </v>
      </c>
      <c r="N253" s="30"/>
    </row>
    <row r="254" spans="1:14" ht="60" x14ac:dyDescent="0.25">
      <c r="A254" s="19" t="s">
        <v>1151</v>
      </c>
      <c r="B254" s="17" t="s">
        <v>1150</v>
      </c>
      <c r="C254" s="20">
        <v>4</v>
      </c>
      <c r="D254" s="18">
        <v>51.75</v>
      </c>
      <c r="E254" s="20" t="s">
        <v>1144</v>
      </c>
      <c r="F254" s="17" t="s">
        <v>272</v>
      </c>
      <c r="G254" s="19" t="s">
        <v>351</v>
      </c>
      <c r="H254" s="18">
        <v>13.020000000000001</v>
      </c>
      <c r="I254" s="17" t="s">
        <v>358</v>
      </c>
      <c r="J254" s="17" t="s">
        <v>32</v>
      </c>
      <c r="K254" s="17"/>
      <c r="L254" s="17"/>
      <c r="M254" s="16" t="str">
        <f>HYPERLINK("http://slimages.macys.com/is/image/MCY/19728027 ")</f>
        <v xml:space="preserve">http://slimages.macys.com/is/image/MCY/19728027 </v>
      </c>
      <c r="N254" s="30"/>
    </row>
    <row r="255" spans="1:14" ht="60" x14ac:dyDescent="0.25">
      <c r="A255" s="19" t="s">
        <v>3597</v>
      </c>
      <c r="B255" s="17" t="s">
        <v>3596</v>
      </c>
      <c r="C255" s="20">
        <v>1</v>
      </c>
      <c r="D255" s="18">
        <v>59</v>
      </c>
      <c r="E255" s="20" t="s">
        <v>3595</v>
      </c>
      <c r="F255" s="17" t="s">
        <v>282</v>
      </c>
      <c r="G255" s="19" t="s">
        <v>62</v>
      </c>
      <c r="H255" s="18">
        <v>13.020000000000001</v>
      </c>
      <c r="I255" s="17" t="s">
        <v>49</v>
      </c>
      <c r="J255" s="17" t="s">
        <v>48</v>
      </c>
      <c r="K255" s="17"/>
      <c r="L255" s="17"/>
      <c r="M255" s="16" t="str">
        <f>HYPERLINK("http://slimages.macys.com/is/image/MCY/16632936 ")</f>
        <v xml:space="preserve">http://slimages.macys.com/is/image/MCY/16632936 </v>
      </c>
      <c r="N255" s="30"/>
    </row>
    <row r="256" spans="1:14" ht="60" x14ac:dyDescent="0.25">
      <c r="A256" s="19" t="s">
        <v>1153</v>
      </c>
      <c r="B256" s="17" t="s">
        <v>1152</v>
      </c>
      <c r="C256" s="20">
        <v>5</v>
      </c>
      <c r="D256" s="18">
        <v>51.75</v>
      </c>
      <c r="E256" s="20" t="s">
        <v>1144</v>
      </c>
      <c r="F256" s="17" t="s">
        <v>272</v>
      </c>
      <c r="G256" s="19" t="s">
        <v>139</v>
      </c>
      <c r="H256" s="18">
        <v>13.020000000000001</v>
      </c>
      <c r="I256" s="17" t="s">
        <v>358</v>
      </c>
      <c r="J256" s="17" t="s">
        <v>32</v>
      </c>
      <c r="K256" s="17"/>
      <c r="L256" s="17"/>
      <c r="M256" s="16" t="str">
        <f>HYPERLINK("http://slimages.macys.com/is/image/MCY/19728027 ")</f>
        <v xml:space="preserve">http://slimages.macys.com/is/image/MCY/19728027 </v>
      </c>
      <c r="N256" s="30"/>
    </row>
    <row r="257" spans="1:14" ht="60" x14ac:dyDescent="0.25">
      <c r="A257" s="19" t="s">
        <v>3594</v>
      </c>
      <c r="B257" s="17" t="s">
        <v>3593</v>
      </c>
      <c r="C257" s="20">
        <v>1</v>
      </c>
      <c r="D257" s="18">
        <v>59</v>
      </c>
      <c r="E257" s="20" t="s">
        <v>1147</v>
      </c>
      <c r="F257" s="17" t="s">
        <v>28</v>
      </c>
      <c r="G257" s="19" t="s">
        <v>22</v>
      </c>
      <c r="H257" s="18">
        <v>13.020000000000001</v>
      </c>
      <c r="I257" s="17" t="s">
        <v>49</v>
      </c>
      <c r="J257" s="17" t="s">
        <v>48</v>
      </c>
      <c r="K257" s="17"/>
      <c r="L257" s="17"/>
      <c r="M257" s="16" t="str">
        <f>HYPERLINK("http://slimages.macys.com/is/image/MCY/18750027 ")</f>
        <v xml:space="preserve">http://slimages.macys.com/is/image/MCY/18750027 </v>
      </c>
      <c r="N257" s="30"/>
    </row>
    <row r="258" spans="1:14" ht="60" x14ac:dyDescent="0.25">
      <c r="A258" s="19" t="s">
        <v>1149</v>
      </c>
      <c r="B258" s="17" t="s">
        <v>1148</v>
      </c>
      <c r="C258" s="20">
        <v>1</v>
      </c>
      <c r="D258" s="18">
        <v>59</v>
      </c>
      <c r="E258" s="20" t="s">
        <v>1147</v>
      </c>
      <c r="F258" s="17" t="s">
        <v>28</v>
      </c>
      <c r="G258" s="19" t="s">
        <v>101</v>
      </c>
      <c r="H258" s="18">
        <v>13.020000000000001</v>
      </c>
      <c r="I258" s="17" t="s">
        <v>49</v>
      </c>
      <c r="J258" s="17" t="s">
        <v>48</v>
      </c>
      <c r="K258" s="17"/>
      <c r="L258" s="17"/>
      <c r="M258" s="16" t="str">
        <f>HYPERLINK("http://slimages.macys.com/is/image/MCY/18750027 ")</f>
        <v xml:space="preserve">http://slimages.macys.com/is/image/MCY/18750027 </v>
      </c>
      <c r="N258" s="30"/>
    </row>
    <row r="259" spans="1:14" ht="60" x14ac:dyDescent="0.25">
      <c r="A259" s="19" t="s">
        <v>3592</v>
      </c>
      <c r="B259" s="17" t="s">
        <v>3591</v>
      </c>
      <c r="C259" s="20">
        <v>1</v>
      </c>
      <c r="D259" s="18">
        <v>59</v>
      </c>
      <c r="E259" s="20" t="s">
        <v>3590</v>
      </c>
      <c r="F259" s="17" t="s">
        <v>339</v>
      </c>
      <c r="G259" s="19" t="s">
        <v>22</v>
      </c>
      <c r="H259" s="18">
        <v>13.020000000000001</v>
      </c>
      <c r="I259" s="17" t="s">
        <v>49</v>
      </c>
      <c r="J259" s="17" t="s">
        <v>48</v>
      </c>
      <c r="K259" s="17"/>
      <c r="L259" s="17"/>
      <c r="M259" s="16" t="str">
        <f>HYPERLINK("http://slimages.macys.com/is/image/MCY/18749949 ")</f>
        <v xml:space="preserve">http://slimages.macys.com/is/image/MCY/18749949 </v>
      </c>
      <c r="N259" s="30"/>
    </row>
    <row r="260" spans="1:14" ht="60" x14ac:dyDescent="0.25">
      <c r="A260" s="19" t="s">
        <v>1146</v>
      </c>
      <c r="B260" s="17" t="s">
        <v>1145</v>
      </c>
      <c r="C260" s="20">
        <v>1</v>
      </c>
      <c r="D260" s="18">
        <v>51.75</v>
      </c>
      <c r="E260" s="20" t="s">
        <v>1144</v>
      </c>
      <c r="F260" s="17" t="s">
        <v>272</v>
      </c>
      <c r="G260" s="19" t="s">
        <v>271</v>
      </c>
      <c r="H260" s="18">
        <v>13.020000000000001</v>
      </c>
      <c r="I260" s="17" t="s">
        <v>358</v>
      </c>
      <c r="J260" s="17" t="s">
        <v>32</v>
      </c>
      <c r="K260" s="17"/>
      <c r="L260" s="17"/>
      <c r="M260" s="16" t="str">
        <f>HYPERLINK("http://slimages.macys.com/is/image/MCY/19728027 ")</f>
        <v xml:space="preserve">http://slimages.macys.com/is/image/MCY/19728027 </v>
      </c>
      <c r="N260" s="30"/>
    </row>
    <row r="261" spans="1:14" ht="60" x14ac:dyDescent="0.25">
      <c r="A261" s="19" t="s">
        <v>3589</v>
      </c>
      <c r="B261" s="17" t="s">
        <v>3588</v>
      </c>
      <c r="C261" s="20">
        <v>1</v>
      </c>
      <c r="D261" s="18">
        <v>69</v>
      </c>
      <c r="E261" s="20" t="s">
        <v>1130</v>
      </c>
      <c r="F261" s="17" t="s">
        <v>390</v>
      </c>
      <c r="G261" s="19" t="s">
        <v>197</v>
      </c>
      <c r="H261" s="18">
        <v>12.993333333333334</v>
      </c>
      <c r="I261" s="17" t="s">
        <v>56</v>
      </c>
      <c r="J261" s="17" t="s">
        <v>55</v>
      </c>
      <c r="K261" s="17" t="s">
        <v>389</v>
      </c>
      <c r="L261" s="17" t="s">
        <v>1129</v>
      </c>
      <c r="M261" s="16" t="str">
        <f>HYPERLINK("http://slimages.macys.com/is/image/MCY/15870463 ")</f>
        <v xml:space="preserve">http://slimages.macys.com/is/image/MCY/15870463 </v>
      </c>
      <c r="N261" s="30"/>
    </row>
    <row r="262" spans="1:14" ht="60" x14ac:dyDescent="0.25">
      <c r="A262" s="19" t="s">
        <v>3587</v>
      </c>
      <c r="B262" s="17" t="s">
        <v>3586</v>
      </c>
      <c r="C262" s="20">
        <v>1</v>
      </c>
      <c r="D262" s="18">
        <v>69</v>
      </c>
      <c r="E262" s="20" t="s">
        <v>1133</v>
      </c>
      <c r="F262" s="17" t="s">
        <v>63</v>
      </c>
      <c r="G262" s="19" t="s">
        <v>62</v>
      </c>
      <c r="H262" s="18">
        <v>12.993333333333334</v>
      </c>
      <c r="I262" s="17" t="s">
        <v>56</v>
      </c>
      <c r="J262" s="17" t="s">
        <v>55</v>
      </c>
      <c r="K262" s="17" t="s">
        <v>389</v>
      </c>
      <c r="L262" s="17" t="s">
        <v>1129</v>
      </c>
      <c r="M262" s="16" t="str">
        <f>HYPERLINK("http://slimages.macys.com/is/image/MCY/13744269 ")</f>
        <v xml:space="preserve">http://slimages.macys.com/is/image/MCY/13744269 </v>
      </c>
      <c r="N262" s="30"/>
    </row>
    <row r="263" spans="1:14" ht="60" x14ac:dyDescent="0.25">
      <c r="A263" s="19" t="s">
        <v>3585</v>
      </c>
      <c r="B263" s="17" t="s">
        <v>3584</v>
      </c>
      <c r="C263" s="20">
        <v>1</v>
      </c>
      <c r="D263" s="18">
        <v>69</v>
      </c>
      <c r="E263" s="20" t="s">
        <v>1130</v>
      </c>
      <c r="F263" s="17" t="s">
        <v>390</v>
      </c>
      <c r="G263" s="19" t="s">
        <v>57</v>
      </c>
      <c r="H263" s="18">
        <v>12.993333333333334</v>
      </c>
      <c r="I263" s="17" t="s">
        <v>56</v>
      </c>
      <c r="J263" s="17" t="s">
        <v>55</v>
      </c>
      <c r="K263" s="17" t="s">
        <v>389</v>
      </c>
      <c r="L263" s="17" t="s">
        <v>1129</v>
      </c>
      <c r="M263" s="16" t="str">
        <f>HYPERLINK("http://slimages.macys.com/is/image/MCY/15870463 ")</f>
        <v xml:space="preserve">http://slimages.macys.com/is/image/MCY/15870463 </v>
      </c>
      <c r="N263" s="30"/>
    </row>
    <row r="264" spans="1:14" ht="60" x14ac:dyDescent="0.25">
      <c r="A264" s="19" t="s">
        <v>3583</v>
      </c>
      <c r="B264" s="17" t="s">
        <v>1127</v>
      </c>
      <c r="C264" s="20">
        <v>1</v>
      </c>
      <c r="D264" s="18">
        <v>69</v>
      </c>
      <c r="E264" s="20" t="s">
        <v>1126</v>
      </c>
      <c r="F264" s="17" t="s">
        <v>575</v>
      </c>
      <c r="G264" s="19" t="s">
        <v>898</v>
      </c>
      <c r="H264" s="18">
        <v>12.88</v>
      </c>
      <c r="I264" s="17" t="s">
        <v>820</v>
      </c>
      <c r="J264" s="17" t="s">
        <v>67</v>
      </c>
      <c r="K264" s="17"/>
      <c r="L264" s="17"/>
      <c r="M264" s="16" t="str">
        <f>HYPERLINK("http://slimages.macys.com/is/image/MCY/3761197 ")</f>
        <v xml:space="preserve">http://slimages.macys.com/is/image/MCY/3761197 </v>
      </c>
      <c r="N264" s="30"/>
    </row>
    <row r="265" spans="1:14" ht="60" x14ac:dyDescent="0.25">
      <c r="A265" s="19" t="s">
        <v>1128</v>
      </c>
      <c r="B265" s="17" t="s">
        <v>1127</v>
      </c>
      <c r="C265" s="20">
        <v>2</v>
      </c>
      <c r="D265" s="18">
        <v>69</v>
      </c>
      <c r="E265" s="20" t="s">
        <v>1126</v>
      </c>
      <c r="F265" s="17" t="s">
        <v>575</v>
      </c>
      <c r="G265" s="19" t="s">
        <v>857</v>
      </c>
      <c r="H265" s="18">
        <v>12.88</v>
      </c>
      <c r="I265" s="17" t="s">
        <v>820</v>
      </c>
      <c r="J265" s="17" t="s">
        <v>67</v>
      </c>
      <c r="K265" s="17"/>
      <c r="L265" s="17"/>
      <c r="M265" s="16" t="str">
        <f>HYPERLINK("http://slimages.macys.com/is/image/MCY/3761197 ")</f>
        <v xml:space="preserve">http://slimages.macys.com/is/image/MCY/3761197 </v>
      </c>
      <c r="N265" s="30"/>
    </row>
    <row r="266" spans="1:14" ht="60" x14ac:dyDescent="0.25">
      <c r="A266" s="19" t="s">
        <v>3582</v>
      </c>
      <c r="B266" s="17" t="s">
        <v>3581</v>
      </c>
      <c r="C266" s="20">
        <v>2</v>
      </c>
      <c r="D266" s="18">
        <v>69</v>
      </c>
      <c r="E266" s="20" t="s">
        <v>3580</v>
      </c>
      <c r="F266" s="17" t="s">
        <v>23</v>
      </c>
      <c r="G266" s="19" t="s">
        <v>57</v>
      </c>
      <c r="H266" s="18">
        <v>12.74</v>
      </c>
      <c r="I266" s="17" t="s">
        <v>405</v>
      </c>
      <c r="J266" s="17" t="s">
        <v>404</v>
      </c>
      <c r="K266" s="17" t="s">
        <v>389</v>
      </c>
      <c r="L266" s="17" t="s">
        <v>1129</v>
      </c>
      <c r="M266" s="16" t="str">
        <f>HYPERLINK("http://slimages.macys.com/is/image/MCY/18457264 ")</f>
        <v xml:space="preserve">http://slimages.macys.com/is/image/MCY/18457264 </v>
      </c>
      <c r="N266" s="30"/>
    </row>
    <row r="267" spans="1:14" ht="60" x14ac:dyDescent="0.25">
      <c r="A267" s="19" t="s">
        <v>3579</v>
      </c>
      <c r="B267" s="17" t="s">
        <v>3578</v>
      </c>
      <c r="C267" s="20">
        <v>2</v>
      </c>
      <c r="D267" s="18">
        <v>48.3</v>
      </c>
      <c r="E267" s="20" t="s">
        <v>3575</v>
      </c>
      <c r="F267" s="17" t="s">
        <v>149</v>
      </c>
      <c r="G267" s="19" t="s">
        <v>57</v>
      </c>
      <c r="H267" s="18">
        <v>12.6</v>
      </c>
      <c r="I267" s="17" t="s">
        <v>42</v>
      </c>
      <c r="J267" s="17" t="s">
        <v>41</v>
      </c>
      <c r="K267" s="17"/>
      <c r="L267" s="17"/>
      <c r="M267" s="16" t="str">
        <f>HYPERLINK("http://slimages.macys.com/is/image/MCY/18916918 ")</f>
        <v xml:space="preserve">http://slimages.macys.com/is/image/MCY/18916918 </v>
      </c>
      <c r="N267" s="30"/>
    </row>
    <row r="268" spans="1:14" ht="60" x14ac:dyDescent="0.25">
      <c r="A268" s="19" t="s">
        <v>3577</v>
      </c>
      <c r="B268" s="17" t="s">
        <v>3576</v>
      </c>
      <c r="C268" s="20">
        <v>20</v>
      </c>
      <c r="D268" s="18">
        <v>48.3</v>
      </c>
      <c r="E268" s="20" t="s">
        <v>3575</v>
      </c>
      <c r="F268" s="17" t="s">
        <v>149</v>
      </c>
      <c r="G268" s="19" t="s">
        <v>69</v>
      </c>
      <c r="H268" s="18">
        <v>12.6</v>
      </c>
      <c r="I268" s="17" t="s">
        <v>42</v>
      </c>
      <c r="J268" s="17" t="s">
        <v>41</v>
      </c>
      <c r="K268" s="17"/>
      <c r="L268" s="17"/>
      <c r="M268" s="16" t="str">
        <f>HYPERLINK("http://slimages.macys.com/is/image/MCY/18916918 ")</f>
        <v xml:space="preserve">http://slimages.macys.com/is/image/MCY/18916918 </v>
      </c>
      <c r="N268" s="30"/>
    </row>
    <row r="269" spans="1:14" ht="60" x14ac:dyDescent="0.25">
      <c r="A269" s="19" t="s">
        <v>3574</v>
      </c>
      <c r="B269" s="17" t="s">
        <v>3573</v>
      </c>
      <c r="C269" s="20">
        <v>1</v>
      </c>
      <c r="D269" s="18">
        <v>48.3</v>
      </c>
      <c r="E269" s="20" t="s">
        <v>1895</v>
      </c>
      <c r="F269" s="17" t="s">
        <v>51</v>
      </c>
      <c r="G269" s="19" t="s">
        <v>69</v>
      </c>
      <c r="H269" s="18">
        <v>12.6</v>
      </c>
      <c r="I269" s="17" t="s">
        <v>42</v>
      </c>
      <c r="J269" s="17" t="s">
        <v>41</v>
      </c>
      <c r="K269" s="17"/>
      <c r="L269" s="17"/>
      <c r="M269" s="16" t="str">
        <f>HYPERLINK("http://slimages.macys.com/is/image/MCY/19187460 ")</f>
        <v xml:space="preserve">http://slimages.macys.com/is/image/MCY/19187460 </v>
      </c>
      <c r="N269" s="30"/>
    </row>
    <row r="270" spans="1:14" ht="60" x14ac:dyDescent="0.25">
      <c r="A270" s="19" t="s">
        <v>3572</v>
      </c>
      <c r="B270" s="17" t="s">
        <v>3571</v>
      </c>
      <c r="C270" s="20">
        <v>1</v>
      </c>
      <c r="D270" s="18">
        <v>59</v>
      </c>
      <c r="E270" s="20">
        <v>7021659</v>
      </c>
      <c r="F270" s="17" t="s">
        <v>91</v>
      </c>
      <c r="G270" s="19" t="s">
        <v>22</v>
      </c>
      <c r="H270" s="18">
        <v>12.586666666666666</v>
      </c>
      <c r="I270" s="17" t="s">
        <v>111</v>
      </c>
      <c r="J270" s="17" t="s">
        <v>110</v>
      </c>
      <c r="K270" s="17"/>
      <c r="L270" s="17"/>
      <c r="M270" s="16" t="str">
        <f>HYPERLINK("http://slimages.macys.com/is/image/MCY/19086463 ")</f>
        <v xml:space="preserve">http://slimages.macys.com/is/image/MCY/19086463 </v>
      </c>
      <c r="N270" s="30"/>
    </row>
    <row r="271" spans="1:14" ht="60" x14ac:dyDescent="0.25">
      <c r="A271" s="19" t="s">
        <v>3570</v>
      </c>
      <c r="B271" s="17" t="s">
        <v>3569</v>
      </c>
      <c r="C271" s="20">
        <v>1</v>
      </c>
      <c r="D271" s="18">
        <v>44.25</v>
      </c>
      <c r="E271" s="20">
        <v>10804902</v>
      </c>
      <c r="F271" s="17" t="s">
        <v>1356</v>
      </c>
      <c r="G271" s="19" t="s">
        <v>351</v>
      </c>
      <c r="H271" s="18">
        <v>12.393333333333334</v>
      </c>
      <c r="I271" s="17" t="s">
        <v>358</v>
      </c>
      <c r="J271" s="17" t="s">
        <v>143</v>
      </c>
      <c r="K271" s="17"/>
      <c r="L271" s="17"/>
      <c r="M271" s="16" t="str">
        <f>HYPERLINK("http://slimages.macys.com/is/image/MCY/19286713 ")</f>
        <v xml:space="preserve">http://slimages.macys.com/is/image/MCY/19286713 </v>
      </c>
      <c r="N271" s="30"/>
    </row>
    <row r="272" spans="1:14" ht="60" x14ac:dyDescent="0.25">
      <c r="A272" s="19" t="s">
        <v>3568</v>
      </c>
      <c r="B272" s="17" t="s">
        <v>3567</v>
      </c>
      <c r="C272" s="20">
        <v>1</v>
      </c>
      <c r="D272" s="18">
        <v>74</v>
      </c>
      <c r="E272" s="20">
        <v>7021052</v>
      </c>
      <c r="F272" s="17" t="s">
        <v>91</v>
      </c>
      <c r="G272" s="19" t="s">
        <v>22</v>
      </c>
      <c r="H272" s="18">
        <v>12.333333333333334</v>
      </c>
      <c r="I272" s="17" t="s">
        <v>111</v>
      </c>
      <c r="J272" s="17" t="s">
        <v>110</v>
      </c>
      <c r="K272" s="17"/>
      <c r="L272" s="17"/>
      <c r="M272" s="16" t="str">
        <f>HYPERLINK("http://slimages.macys.com/is/image/MCY/19549533 ")</f>
        <v xml:space="preserve">http://slimages.macys.com/is/image/MCY/19549533 </v>
      </c>
      <c r="N272" s="30"/>
    </row>
    <row r="273" spans="1:14" ht="60" x14ac:dyDescent="0.25">
      <c r="A273" s="19" t="s">
        <v>3566</v>
      </c>
      <c r="B273" s="17" t="s">
        <v>3565</v>
      </c>
      <c r="C273" s="20">
        <v>1</v>
      </c>
      <c r="D273" s="18">
        <v>59.5</v>
      </c>
      <c r="E273" s="20" t="s">
        <v>3564</v>
      </c>
      <c r="F273" s="17" t="s">
        <v>91</v>
      </c>
      <c r="G273" s="19" t="s">
        <v>139</v>
      </c>
      <c r="H273" s="18">
        <v>12.24</v>
      </c>
      <c r="I273" s="17" t="s">
        <v>1891</v>
      </c>
      <c r="J273" s="17" t="s">
        <v>67</v>
      </c>
      <c r="K273" s="17"/>
      <c r="L273" s="17"/>
      <c r="M273" s="16" t="str">
        <f>HYPERLINK("http://slimages.macys.com/is/image/MCY/18363681 ")</f>
        <v xml:space="preserve">http://slimages.macys.com/is/image/MCY/18363681 </v>
      </c>
      <c r="N273" s="30"/>
    </row>
    <row r="274" spans="1:14" ht="60" x14ac:dyDescent="0.25">
      <c r="A274" s="19" t="s">
        <v>1120</v>
      </c>
      <c r="B274" s="17" t="s">
        <v>1119</v>
      </c>
      <c r="C274" s="20">
        <v>1</v>
      </c>
      <c r="D274" s="18">
        <v>59</v>
      </c>
      <c r="E274" s="20">
        <v>10804500</v>
      </c>
      <c r="F274" s="17" t="s">
        <v>23</v>
      </c>
      <c r="G274" s="19" t="s">
        <v>62</v>
      </c>
      <c r="H274" s="18">
        <v>12.193333333333333</v>
      </c>
      <c r="I274" s="17" t="s">
        <v>144</v>
      </c>
      <c r="J274" s="17" t="s">
        <v>143</v>
      </c>
      <c r="K274" s="17"/>
      <c r="L274" s="17"/>
      <c r="M274" s="16" t="str">
        <f>HYPERLINK("http://slimages.macys.com/is/image/MCY/19096173 ")</f>
        <v xml:space="preserve">http://slimages.macys.com/is/image/MCY/19096173 </v>
      </c>
      <c r="N274" s="30"/>
    </row>
    <row r="275" spans="1:14" ht="60" x14ac:dyDescent="0.25">
      <c r="A275" s="19" t="s">
        <v>3563</v>
      </c>
      <c r="B275" s="17" t="s">
        <v>3562</v>
      </c>
      <c r="C275" s="20">
        <v>1</v>
      </c>
      <c r="D275" s="18">
        <v>59</v>
      </c>
      <c r="E275" s="20">
        <v>10804500</v>
      </c>
      <c r="F275" s="17" t="s">
        <v>23</v>
      </c>
      <c r="G275" s="19" t="s">
        <v>57</v>
      </c>
      <c r="H275" s="18">
        <v>12.193333333333333</v>
      </c>
      <c r="I275" s="17" t="s">
        <v>144</v>
      </c>
      <c r="J275" s="17" t="s">
        <v>143</v>
      </c>
      <c r="K275" s="17"/>
      <c r="L275" s="17"/>
      <c r="M275" s="16" t="str">
        <f>HYPERLINK("http://slimages.macys.com/is/image/MCY/19096173 ")</f>
        <v xml:space="preserve">http://slimages.macys.com/is/image/MCY/19096173 </v>
      </c>
      <c r="N275" s="30"/>
    </row>
    <row r="276" spans="1:14" ht="60" x14ac:dyDescent="0.25">
      <c r="A276" s="19" t="s">
        <v>3561</v>
      </c>
      <c r="B276" s="17" t="s">
        <v>3560</v>
      </c>
      <c r="C276" s="20">
        <v>1</v>
      </c>
      <c r="D276" s="18">
        <v>64.5</v>
      </c>
      <c r="E276" s="20" t="s">
        <v>3559</v>
      </c>
      <c r="F276" s="17" t="s">
        <v>216</v>
      </c>
      <c r="G276" s="19" t="s">
        <v>271</v>
      </c>
      <c r="H276" s="18">
        <v>12.146666666666668</v>
      </c>
      <c r="I276" s="17" t="s">
        <v>1891</v>
      </c>
      <c r="J276" s="17" t="s">
        <v>67</v>
      </c>
      <c r="K276" s="17"/>
      <c r="L276" s="17"/>
      <c r="M276" s="16" t="str">
        <f>HYPERLINK("http://slimages.macys.com/is/image/MCY/18980911 ")</f>
        <v xml:space="preserve">http://slimages.macys.com/is/image/MCY/18980911 </v>
      </c>
      <c r="N276" s="30"/>
    </row>
    <row r="277" spans="1:14" ht="60" x14ac:dyDescent="0.25">
      <c r="A277" s="19" t="s">
        <v>3558</v>
      </c>
      <c r="B277" s="17" t="s">
        <v>3557</v>
      </c>
      <c r="C277" s="20">
        <v>2</v>
      </c>
      <c r="D277" s="18">
        <v>54</v>
      </c>
      <c r="E277" s="20" t="s">
        <v>1094</v>
      </c>
      <c r="F277" s="17" t="s">
        <v>272</v>
      </c>
      <c r="G277" s="19" t="s">
        <v>57</v>
      </c>
      <c r="H277" s="18">
        <v>12</v>
      </c>
      <c r="I277" s="17" t="s">
        <v>133</v>
      </c>
      <c r="J277" s="17" t="s">
        <v>833</v>
      </c>
      <c r="K277" s="17"/>
      <c r="L277" s="17"/>
      <c r="M277" s="16" t="str">
        <f>HYPERLINK("http://slimages.macys.com/is/image/MCY/19305425 ")</f>
        <v xml:space="preserve">http://slimages.macys.com/is/image/MCY/19305425 </v>
      </c>
      <c r="N277" s="30"/>
    </row>
    <row r="278" spans="1:14" ht="60" x14ac:dyDescent="0.25">
      <c r="A278" s="19" t="s">
        <v>3556</v>
      </c>
      <c r="B278" s="17" t="s">
        <v>3555</v>
      </c>
      <c r="C278" s="20">
        <v>1</v>
      </c>
      <c r="D278" s="18">
        <v>59.5</v>
      </c>
      <c r="E278" s="20" t="s">
        <v>3554</v>
      </c>
      <c r="F278" s="17" t="s">
        <v>282</v>
      </c>
      <c r="G278" s="19" t="s">
        <v>197</v>
      </c>
      <c r="H278" s="18">
        <v>11.986666666666668</v>
      </c>
      <c r="I278" s="17" t="s">
        <v>106</v>
      </c>
      <c r="J278" s="17" t="s">
        <v>105</v>
      </c>
      <c r="K278" s="17"/>
      <c r="L278" s="17"/>
      <c r="M278" s="16" t="str">
        <f>HYPERLINK("http://slimages.macys.com/is/image/MCY/19900028 ")</f>
        <v xml:space="preserve">http://slimages.macys.com/is/image/MCY/19900028 </v>
      </c>
      <c r="N278" s="30"/>
    </row>
    <row r="279" spans="1:14" ht="60" x14ac:dyDescent="0.25">
      <c r="A279" s="19" t="s">
        <v>3553</v>
      </c>
      <c r="B279" s="17" t="s">
        <v>3552</v>
      </c>
      <c r="C279" s="20">
        <v>1</v>
      </c>
      <c r="D279" s="18">
        <v>59.5</v>
      </c>
      <c r="E279" s="20" t="s">
        <v>3551</v>
      </c>
      <c r="F279" s="17" t="s">
        <v>91</v>
      </c>
      <c r="G279" s="19" t="s">
        <v>197</v>
      </c>
      <c r="H279" s="18">
        <v>11.986666666666668</v>
      </c>
      <c r="I279" s="17" t="s">
        <v>106</v>
      </c>
      <c r="J279" s="17" t="s">
        <v>105</v>
      </c>
      <c r="K279" s="17"/>
      <c r="L279" s="17"/>
      <c r="M279" s="16" t="str">
        <f>HYPERLINK("http://slimages.macys.com/is/image/MCY/18690694 ")</f>
        <v xml:space="preserve">http://slimages.macys.com/is/image/MCY/18690694 </v>
      </c>
      <c r="N279" s="30"/>
    </row>
    <row r="280" spans="1:14" ht="60" x14ac:dyDescent="0.25">
      <c r="A280" s="19" t="s">
        <v>3550</v>
      </c>
      <c r="B280" s="17" t="s">
        <v>3549</v>
      </c>
      <c r="C280" s="20">
        <v>1</v>
      </c>
      <c r="D280" s="18">
        <v>89</v>
      </c>
      <c r="E280" s="20">
        <v>9231027</v>
      </c>
      <c r="F280" s="17" t="s">
        <v>433</v>
      </c>
      <c r="G280" s="19" t="s">
        <v>139</v>
      </c>
      <c r="H280" s="18">
        <v>11.866666666666667</v>
      </c>
      <c r="I280" s="17" t="s">
        <v>138</v>
      </c>
      <c r="J280" s="17" t="s">
        <v>137</v>
      </c>
      <c r="K280" s="17"/>
      <c r="L280" s="17"/>
      <c r="M280" s="16" t="str">
        <f>HYPERLINK("http://slimages.macys.com/is/image/MCY/19196122 ")</f>
        <v xml:space="preserve">http://slimages.macys.com/is/image/MCY/19196122 </v>
      </c>
      <c r="N280" s="30"/>
    </row>
    <row r="281" spans="1:14" ht="60" x14ac:dyDescent="0.25">
      <c r="A281" s="19" t="s">
        <v>3548</v>
      </c>
      <c r="B281" s="17" t="s">
        <v>3547</v>
      </c>
      <c r="C281" s="20">
        <v>1</v>
      </c>
      <c r="D281" s="18">
        <v>59</v>
      </c>
      <c r="E281" s="20" t="s">
        <v>3546</v>
      </c>
      <c r="F281" s="17" t="s">
        <v>272</v>
      </c>
      <c r="G281" s="19" t="s">
        <v>27</v>
      </c>
      <c r="H281" s="18">
        <v>11.8</v>
      </c>
      <c r="I281" s="17" t="s">
        <v>678</v>
      </c>
      <c r="J281" s="17" t="s">
        <v>404</v>
      </c>
      <c r="K281" s="17"/>
      <c r="L281" s="17"/>
      <c r="M281" s="16" t="str">
        <f>HYPERLINK("http://slimages.macys.com/is/image/MCY/19831288 ")</f>
        <v xml:space="preserve">http://slimages.macys.com/is/image/MCY/19831288 </v>
      </c>
      <c r="N281" s="30"/>
    </row>
    <row r="282" spans="1:14" ht="60" x14ac:dyDescent="0.25">
      <c r="A282" s="19" t="s">
        <v>3545</v>
      </c>
      <c r="B282" s="17" t="s">
        <v>3544</v>
      </c>
      <c r="C282" s="20">
        <v>1</v>
      </c>
      <c r="D282" s="18">
        <v>59</v>
      </c>
      <c r="E282" s="20" t="s">
        <v>3543</v>
      </c>
      <c r="F282" s="17" t="s">
        <v>206</v>
      </c>
      <c r="G282" s="19" t="s">
        <v>57</v>
      </c>
      <c r="H282" s="18">
        <v>11.8</v>
      </c>
      <c r="I282" s="17" t="s">
        <v>144</v>
      </c>
      <c r="J282" s="17" t="s">
        <v>496</v>
      </c>
      <c r="K282" s="17"/>
      <c r="L282" s="17"/>
      <c r="M282" s="16" t="str">
        <f>HYPERLINK("http://slimages.macys.com/is/image/MCY/18844525 ")</f>
        <v xml:space="preserve">http://slimages.macys.com/is/image/MCY/18844525 </v>
      </c>
      <c r="N282" s="30"/>
    </row>
    <row r="283" spans="1:14" ht="60" x14ac:dyDescent="0.25">
      <c r="A283" s="19" t="s">
        <v>3542</v>
      </c>
      <c r="B283" s="17" t="s">
        <v>3541</v>
      </c>
      <c r="C283" s="20">
        <v>2</v>
      </c>
      <c r="D283" s="18">
        <v>59</v>
      </c>
      <c r="E283" s="20" t="s">
        <v>3538</v>
      </c>
      <c r="F283" s="17" t="s">
        <v>58</v>
      </c>
      <c r="G283" s="19" t="s">
        <v>74</v>
      </c>
      <c r="H283" s="18">
        <v>11.8</v>
      </c>
      <c r="I283" s="17" t="s">
        <v>678</v>
      </c>
      <c r="J283" s="17" t="s">
        <v>404</v>
      </c>
      <c r="K283" s="17"/>
      <c r="L283" s="17"/>
      <c r="M283" s="16" t="str">
        <f>HYPERLINK("http://slimages.macys.com/is/image/MCY/19530528 ")</f>
        <v xml:space="preserve">http://slimages.macys.com/is/image/MCY/19530528 </v>
      </c>
      <c r="N283" s="30"/>
    </row>
    <row r="284" spans="1:14" ht="60" x14ac:dyDescent="0.25">
      <c r="A284" s="19" t="s">
        <v>3540</v>
      </c>
      <c r="B284" s="17" t="s">
        <v>3539</v>
      </c>
      <c r="C284" s="20">
        <v>1</v>
      </c>
      <c r="D284" s="18">
        <v>59</v>
      </c>
      <c r="E284" s="20" t="s">
        <v>3538</v>
      </c>
      <c r="F284" s="17" t="s">
        <v>58</v>
      </c>
      <c r="G284" s="19" t="s">
        <v>69</v>
      </c>
      <c r="H284" s="18">
        <v>11.8</v>
      </c>
      <c r="I284" s="17" t="s">
        <v>678</v>
      </c>
      <c r="J284" s="17" t="s">
        <v>404</v>
      </c>
      <c r="K284" s="17"/>
      <c r="L284" s="17"/>
      <c r="M284" s="16" t="str">
        <f>HYPERLINK("http://slimages.macys.com/is/image/MCY/19530528 ")</f>
        <v xml:space="preserve">http://slimages.macys.com/is/image/MCY/19530528 </v>
      </c>
      <c r="N284" s="30"/>
    </row>
    <row r="285" spans="1:14" ht="60" x14ac:dyDescent="0.25">
      <c r="A285" s="19" t="s">
        <v>3537</v>
      </c>
      <c r="B285" s="17" t="s">
        <v>3536</v>
      </c>
      <c r="C285" s="20">
        <v>2</v>
      </c>
      <c r="D285" s="18">
        <v>45</v>
      </c>
      <c r="E285" s="20" t="s">
        <v>3535</v>
      </c>
      <c r="F285" s="17" t="s">
        <v>51</v>
      </c>
      <c r="G285" s="19" t="s">
        <v>22</v>
      </c>
      <c r="H285" s="18">
        <v>11.52</v>
      </c>
      <c r="I285" s="17" t="s">
        <v>16</v>
      </c>
      <c r="J285" s="17" t="s">
        <v>15</v>
      </c>
      <c r="K285" s="17"/>
      <c r="L285" s="17"/>
      <c r="M285" s="16" t="str">
        <f>HYPERLINK("http://slimages.macys.com/is/image/MCY/19043645 ")</f>
        <v xml:space="preserve">http://slimages.macys.com/is/image/MCY/19043645 </v>
      </c>
      <c r="N285" s="30"/>
    </row>
    <row r="286" spans="1:14" ht="60" x14ac:dyDescent="0.25">
      <c r="A286" s="19" t="s">
        <v>3534</v>
      </c>
      <c r="B286" s="17" t="s">
        <v>3533</v>
      </c>
      <c r="C286" s="20">
        <v>1</v>
      </c>
      <c r="D286" s="18">
        <v>69</v>
      </c>
      <c r="E286" s="20">
        <v>7031631</v>
      </c>
      <c r="F286" s="17" t="s">
        <v>35</v>
      </c>
      <c r="G286" s="19" t="s">
        <v>22</v>
      </c>
      <c r="H286" s="18">
        <v>11.500000000000002</v>
      </c>
      <c r="I286" s="17" t="s">
        <v>111</v>
      </c>
      <c r="J286" s="17" t="s">
        <v>110</v>
      </c>
      <c r="K286" s="17"/>
      <c r="L286" s="17"/>
      <c r="M286" s="16" t="str">
        <f>HYPERLINK("http://slimages.macys.com/is/image/MCY/19390827 ")</f>
        <v xml:space="preserve">http://slimages.macys.com/is/image/MCY/19390827 </v>
      </c>
      <c r="N286" s="30"/>
    </row>
    <row r="287" spans="1:14" ht="60" x14ac:dyDescent="0.25">
      <c r="A287" s="19" t="s">
        <v>3532</v>
      </c>
      <c r="B287" s="17" t="s">
        <v>3531</v>
      </c>
      <c r="C287" s="20">
        <v>1</v>
      </c>
      <c r="D287" s="18">
        <v>69</v>
      </c>
      <c r="E287" s="20">
        <v>7030601</v>
      </c>
      <c r="F287" s="17" t="s">
        <v>508</v>
      </c>
      <c r="G287" s="19" t="s">
        <v>62</v>
      </c>
      <c r="H287" s="18">
        <v>11.500000000000002</v>
      </c>
      <c r="I287" s="17" t="s">
        <v>111</v>
      </c>
      <c r="J287" s="17" t="s">
        <v>110</v>
      </c>
      <c r="K287" s="17" t="s">
        <v>637</v>
      </c>
      <c r="L287" s="17" t="s">
        <v>3530</v>
      </c>
      <c r="M287" s="16" t="str">
        <f>HYPERLINK("http://images.bloomingdales.com/is/image/BLM/11438022 ")</f>
        <v xml:space="preserve">http://images.bloomingdales.com/is/image/BLM/11438022 </v>
      </c>
      <c r="N287" s="30"/>
    </row>
    <row r="288" spans="1:14" ht="60" x14ac:dyDescent="0.25">
      <c r="A288" s="19" t="s">
        <v>3529</v>
      </c>
      <c r="B288" s="17" t="s">
        <v>3528</v>
      </c>
      <c r="C288" s="20">
        <v>1</v>
      </c>
      <c r="D288" s="18">
        <v>69</v>
      </c>
      <c r="E288" s="20">
        <v>7031631</v>
      </c>
      <c r="F288" s="17" t="s">
        <v>91</v>
      </c>
      <c r="G288" s="19" t="s">
        <v>62</v>
      </c>
      <c r="H288" s="18">
        <v>11.500000000000002</v>
      </c>
      <c r="I288" s="17" t="s">
        <v>111</v>
      </c>
      <c r="J288" s="17" t="s">
        <v>110</v>
      </c>
      <c r="K288" s="17"/>
      <c r="L288" s="17"/>
      <c r="M288" s="16" t="str">
        <f>HYPERLINK("http://slimages.macys.com/is/image/MCY/19390827 ")</f>
        <v xml:space="preserve">http://slimages.macys.com/is/image/MCY/19390827 </v>
      </c>
      <c r="N288" s="30"/>
    </row>
    <row r="289" spans="1:14" ht="60" x14ac:dyDescent="0.25">
      <c r="A289" s="19" t="s">
        <v>3527</v>
      </c>
      <c r="B289" s="17" t="s">
        <v>3526</v>
      </c>
      <c r="C289" s="20">
        <v>1</v>
      </c>
      <c r="D289" s="18">
        <v>40</v>
      </c>
      <c r="E289" s="20" t="s">
        <v>3525</v>
      </c>
      <c r="F289" s="17" t="s">
        <v>1536</v>
      </c>
      <c r="G289" s="19" t="s">
        <v>22</v>
      </c>
      <c r="H289" s="18">
        <v>11.4</v>
      </c>
      <c r="I289" s="17" t="s">
        <v>16</v>
      </c>
      <c r="J289" s="17" t="s">
        <v>15</v>
      </c>
      <c r="K289" s="17"/>
      <c r="L289" s="17"/>
      <c r="M289" s="16" t="str">
        <f>HYPERLINK("http://slimages.macys.com/is/image/MCY/17842430 ")</f>
        <v xml:space="preserve">http://slimages.macys.com/is/image/MCY/17842430 </v>
      </c>
      <c r="N289" s="30"/>
    </row>
    <row r="290" spans="1:14" ht="60" x14ac:dyDescent="0.25">
      <c r="A290" s="19" t="s">
        <v>2651</v>
      </c>
      <c r="B290" s="17" t="s">
        <v>2650</v>
      </c>
      <c r="C290" s="20">
        <v>2</v>
      </c>
      <c r="D290" s="18">
        <v>59.5</v>
      </c>
      <c r="E290" s="20" t="s">
        <v>1086</v>
      </c>
      <c r="F290" s="17" t="s">
        <v>51</v>
      </c>
      <c r="G290" s="19" t="s">
        <v>69</v>
      </c>
      <c r="H290" s="18">
        <v>11.206666666666667</v>
      </c>
      <c r="I290" s="17" t="s">
        <v>56</v>
      </c>
      <c r="J290" s="17" t="s">
        <v>55</v>
      </c>
      <c r="K290" s="17"/>
      <c r="L290" s="17"/>
      <c r="M290" s="16" t="str">
        <f>HYPERLINK("http://slimages.macys.com/is/image/MCY/19182892 ")</f>
        <v xml:space="preserve">http://slimages.macys.com/is/image/MCY/19182892 </v>
      </c>
      <c r="N290" s="30"/>
    </row>
    <row r="291" spans="1:14" ht="60" x14ac:dyDescent="0.25">
      <c r="A291" s="19" t="s">
        <v>1088</v>
      </c>
      <c r="B291" s="17" t="s">
        <v>1087</v>
      </c>
      <c r="C291" s="20">
        <v>1</v>
      </c>
      <c r="D291" s="18">
        <v>59.5</v>
      </c>
      <c r="E291" s="20" t="s">
        <v>1086</v>
      </c>
      <c r="F291" s="17" t="s">
        <v>51</v>
      </c>
      <c r="G291" s="19" t="s">
        <v>57</v>
      </c>
      <c r="H291" s="18">
        <v>11.206666666666667</v>
      </c>
      <c r="I291" s="17" t="s">
        <v>56</v>
      </c>
      <c r="J291" s="17" t="s">
        <v>55</v>
      </c>
      <c r="K291" s="17"/>
      <c r="L291" s="17"/>
      <c r="M291" s="16" t="str">
        <f>HYPERLINK("http://slimages.macys.com/is/image/MCY/19182892 ")</f>
        <v xml:space="preserve">http://slimages.macys.com/is/image/MCY/19182892 </v>
      </c>
      <c r="N291" s="30"/>
    </row>
    <row r="292" spans="1:14" ht="60" x14ac:dyDescent="0.25">
      <c r="A292" s="19" t="s">
        <v>1085</v>
      </c>
      <c r="B292" s="17" t="s">
        <v>1084</v>
      </c>
      <c r="C292" s="20">
        <v>1</v>
      </c>
      <c r="D292" s="18">
        <v>59.5</v>
      </c>
      <c r="E292" s="20" t="s">
        <v>1083</v>
      </c>
      <c r="F292" s="17" t="s">
        <v>91</v>
      </c>
      <c r="G292" s="19" t="s">
        <v>57</v>
      </c>
      <c r="H292" s="18">
        <v>11.206666666666667</v>
      </c>
      <c r="I292" s="17" t="s">
        <v>56</v>
      </c>
      <c r="J292" s="17" t="s">
        <v>55</v>
      </c>
      <c r="K292" s="17"/>
      <c r="L292" s="17"/>
      <c r="M292" s="16" t="str">
        <f>HYPERLINK("http://slimages.macys.com/is/image/MCY/19365399 ")</f>
        <v xml:space="preserve">http://slimages.macys.com/is/image/MCY/19365399 </v>
      </c>
      <c r="N292" s="30"/>
    </row>
    <row r="293" spans="1:14" ht="60" x14ac:dyDescent="0.25">
      <c r="A293" s="19" t="s">
        <v>3524</v>
      </c>
      <c r="B293" s="17" t="s">
        <v>3523</v>
      </c>
      <c r="C293" s="20">
        <v>2</v>
      </c>
      <c r="D293" s="18">
        <v>59.5</v>
      </c>
      <c r="E293" s="20" t="s">
        <v>1080</v>
      </c>
      <c r="F293" s="17" t="s">
        <v>206</v>
      </c>
      <c r="G293" s="19" t="s">
        <v>197</v>
      </c>
      <c r="H293" s="18">
        <v>11.206666666666667</v>
      </c>
      <c r="I293" s="17" t="s">
        <v>56</v>
      </c>
      <c r="J293" s="17" t="s">
        <v>55</v>
      </c>
      <c r="K293" s="17"/>
      <c r="L293" s="17"/>
      <c r="M293" s="16" t="str">
        <f>HYPERLINK("http://slimages.macys.com/is/image/MCY/19394905 ")</f>
        <v xml:space="preserve">http://slimages.macys.com/is/image/MCY/19394905 </v>
      </c>
      <c r="N293" s="30"/>
    </row>
    <row r="294" spans="1:14" ht="60" x14ac:dyDescent="0.25">
      <c r="A294" s="19" t="s">
        <v>3522</v>
      </c>
      <c r="B294" s="17" t="s">
        <v>3521</v>
      </c>
      <c r="C294" s="20">
        <v>1</v>
      </c>
      <c r="D294" s="18">
        <v>59.5</v>
      </c>
      <c r="E294" s="20" t="s">
        <v>3520</v>
      </c>
      <c r="F294" s="17" t="s">
        <v>91</v>
      </c>
      <c r="G294" s="19" t="s">
        <v>74</v>
      </c>
      <c r="H294" s="18">
        <v>11.206666666666667</v>
      </c>
      <c r="I294" s="17" t="s">
        <v>56</v>
      </c>
      <c r="J294" s="17" t="s">
        <v>55</v>
      </c>
      <c r="K294" s="17"/>
      <c r="L294" s="17"/>
      <c r="M294" s="16" t="str">
        <f>HYPERLINK("http://slimages.macys.com/is/image/MCY/18757868 ")</f>
        <v xml:space="preserve">http://slimages.macys.com/is/image/MCY/18757868 </v>
      </c>
      <c r="N294" s="30"/>
    </row>
    <row r="295" spans="1:14" ht="60" x14ac:dyDescent="0.25">
      <c r="A295" s="19" t="s">
        <v>376</v>
      </c>
      <c r="B295" s="17" t="s">
        <v>375</v>
      </c>
      <c r="C295" s="20">
        <v>1</v>
      </c>
      <c r="D295" s="18">
        <v>59.5</v>
      </c>
      <c r="E295" s="20" t="s">
        <v>374</v>
      </c>
      <c r="F295" s="17" t="s">
        <v>91</v>
      </c>
      <c r="G295" s="19" t="s">
        <v>197</v>
      </c>
      <c r="H295" s="18">
        <v>11.206666666666667</v>
      </c>
      <c r="I295" s="17" t="s">
        <v>56</v>
      </c>
      <c r="J295" s="17" t="s">
        <v>55</v>
      </c>
      <c r="K295" s="17"/>
      <c r="L295" s="17"/>
      <c r="M295" s="16" t="str">
        <f>HYPERLINK("http://slimages.macys.com/is/image/MCY/19367312 ")</f>
        <v xml:space="preserve">http://slimages.macys.com/is/image/MCY/19367312 </v>
      </c>
      <c r="N295" s="30"/>
    </row>
    <row r="296" spans="1:14" ht="60" x14ac:dyDescent="0.25">
      <c r="A296" s="19" t="s">
        <v>3519</v>
      </c>
      <c r="B296" s="17" t="s">
        <v>3518</v>
      </c>
      <c r="C296" s="20">
        <v>1</v>
      </c>
      <c r="D296" s="18">
        <v>59.5</v>
      </c>
      <c r="E296" s="20" t="s">
        <v>3517</v>
      </c>
      <c r="F296" s="17" t="s">
        <v>206</v>
      </c>
      <c r="G296" s="19" t="s">
        <v>351</v>
      </c>
      <c r="H296" s="18">
        <v>11.206666666666667</v>
      </c>
      <c r="I296" s="17" t="s">
        <v>1891</v>
      </c>
      <c r="J296" s="17" t="s">
        <v>2435</v>
      </c>
      <c r="K296" s="17"/>
      <c r="L296" s="17"/>
      <c r="M296" s="16" t="str">
        <f>HYPERLINK("http://slimages.macys.com/is/image/MCY/19507771 ")</f>
        <v xml:space="preserve">http://slimages.macys.com/is/image/MCY/19507771 </v>
      </c>
      <c r="N296" s="30"/>
    </row>
    <row r="297" spans="1:14" ht="60" x14ac:dyDescent="0.25">
      <c r="A297" s="19" t="s">
        <v>3516</v>
      </c>
      <c r="B297" s="17" t="s">
        <v>3515</v>
      </c>
      <c r="C297" s="20">
        <v>1</v>
      </c>
      <c r="D297" s="18">
        <v>59.5</v>
      </c>
      <c r="E297" s="20" t="s">
        <v>368</v>
      </c>
      <c r="F297" s="17" t="s">
        <v>63</v>
      </c>
      <c r="G297" s="19" t="s">
        <v>57</v>
      </c>
      <c r="H297" s="18">
        <v>11.206666666666667</v>
      </c>
      <c r="I297" s="17" t="s">
        <v>56</v>
      </c>
      <c r="J297" s="17" t="s">
        <v>55</v>
      </c>
      <c r="K297" s="17"/>
      <c r="L297" s="17"/>
      <c r="M297" s="16" t="str">
        <f>HYPERLINK("http://slimages.macys.com/is/image/MCY/19019250 ")</f>
        <v xml:space="preserve">http://slimages.macys.com/is/image/MCY/19019250 </v>
      </c>
      <c r="N297" s="30"/>
    </row>
    <row r="298" spans="1:14" ht="60" x14ac:dyDescent="0.25">
      <c r="A298" s="19" t="s">
        <v>1854</v>
      </c>
      <c r="B298" s="17" t="s">
        <v>1853</v>
      </c>
      <c r="C298" s="20">
        <v>2</v>
      </c>
      <c r="D298" s="18">
        <v>59.5</v>
      </c>
      <c r="E298" s="20" t="s">
        <v>1086</v>
      </c>
      <c r="F298" s="17" t="s">
        <v>51</v>
      </c>
      <c r="G298" s="19" t="s">
        <v>74</v>
      </c>
      <c r="H298" s="18">
        <v>11.206666666666667</v>
      </c>
      <c r="I298" s="17" t="s">
        <v>56</v>
      </c>
      <c r="J298" s="17" t="s">
        <v>55</v>
      </c>
      <c r="K298" s="17"/>
      <c r="L298" s="17"/>
      <c r="M298" s="16" t="str">
        <f>HYPERLINK("http://slimages.macys.com/is/image/MCY/19182892 ")</f>
        <v xml:space="preserve">http://slimages.macys.com/is/image/MCY/19182892 </v>
      </c>
      <c r="N298" s="30"/>
    </row>
    <row r="299" spans="1:14" ht="60" x14ac:dyDescent="0.25">
      <c r="A299" s="19" t="s">
        <v>3514</v>
      </c>
      <c r="B299" s="17" t="s">
        <v>3513</v>
      </c>
      <c r="C299" s="20">
        <v>1</v>
      </c>
      <c r="D299" s="18">
        <v>59.5</v>
      </c>
      <c r="E299" s="20" t="s">
        <v>2654</v>
      </c>
      <c r="F299" s="17" t="s">
        <v>91</v>
      </c>
      <c r="G299" s="19" t="s">
        <v>74</v>
      </c>
      <c r="H299" s="18">
        <v>11.206666666666667</v>
      </c>
      <c r="I299" s="17" t="s">
        <v>56</v>
      </c>
      <c r="J299" s="17" t="s">
        <v>55</v>
      </c>
      <c r="K299" s="17"/>
      <c r="L299" s="17"/>
      <c r="M299" s="16" t="str">
        <f>HYPERLINK("http://slimages.macys.com/is/image/MCY/19365383 ")</f>
        <v xml:space="preserve">http://slimages.macys.com/is/image/MCY/19365383 </v>
      </c>
      <c r="N299" s="30"/>
    </row>
    <row r="300" spans="1:14" ht="60" x14ac:dyDescent="0.25">
      <c r="A300" s="19" t="s">
        <v>3512</v>
      </c>
      <c r="B300" s="17" t="s">
        <v>3511</v>
      </c>
      <c r="C300" s="20">
        <v>1</v>
      </c>
      <c r="D300" s="18">
        <v>59.5</v>
      </c>
      <c r="E300" s="20" t="s">
        <v>3510</v>
      </c>
      <c r="F300" s="17" t="s">
        <v>23</v>
      </c>
      <c r="G300" s="19" t="s">
        <v>351</v>
      </c>
      <c r="H300" s="18">
        <v>11.206666666666667</v>
      </c>
      <c r="I300" s="17" t="s">
        <v>1891</v>
      </c>
      <c r="J300" s="17" t="s">
        <v>67</v>
      </c>
      <c r="K300" s="17"/>
      <c r="L300" s="17"/>
      <c r="M300" s="16" t="str">
        <f>HYPERLINK("http://slimages.macys.com/is/image/MCY/18981715 ")</f>
        <v xml:space="preserve">http://slimages.macys.com/is/image/MCY/18981715 </v>
      </c>
      <c r="N300" s="30"/>
    </row>
    <row r="301" spans="1:14" ht="60" x14ac:dyDescent="0.25">
      <c r="A301" s="19" t="s">
        <v>3509</v>
      </c>
      <c r="B301" s="17" t="s">
        <v>3508</v>
      </c>
      <c r="C301" s="20">
        <v>1</v>
      </c>
      <c r="D301" s="18">
        <v>59.5</v>
      </c>
      <c r="E301" s="20" t="s">
        <v>374</v>
      </c>
      <c r="F301" s="17" t="s">
        <v>206</v>
      </c>
      <c r="G301" s="19" t="s">
        <v>57</v>
      </c>
      <c r="H301" s="18">
        <v>11.206666666666667</v>
      </c>
      <c r="I301" s="17" t="s">
        <v>56</v>
      </c>
      <c r="J301" s="17" t="s">
        <v>55</v>
      </c>
      <c r="K301" s="17"/>
      <c r="L301" s="17"/>
      <c r="M301" s="16" t="str">
        <f>HYPERLINK("http://slimages.macys.com/is/image/MCY/19367312 ")</f>
        <v xml:space="preserve">http://slimages.macys.com/is/image/MCY/19367312 </v>
      </c>
      <c r="N301" s="30"/>
    </row>
    <row r="302" spans="1:14" ht="60" x14ac:dyDescent="0.25">
      <c r="A302" s="19" t="s">
        <v>3507</v>
      </c>
      <c r="B302" s="17" t="s">
        <v>3506</v>
      </c>
      <c r="C302" s="20">
        <v>1</v>
      </c>
      <c r="D302" s="18">
        <v>59.5</v>
      </c>
      <c r="E302" s="20" t="s">
        <v>374</v>
      </c>
      <c r="F302" s="17" t="s">
        <v>206</v>
      </c>
      <c r="G302" s="19" t="s">
        <v>74</v>
      </c>
      <c r="H302" s="18">
        <v>11.206666666666667</v>
      </c>
      <c r="I302" s="17" t="s">
        <v>56</v>
      </c>
      <c r="J302" s="17" t="s">
        <v>55</v>
      </c>
      <c r="K302" s="17"/>
      <c r="L302" s="17"/>
      <c r="M302" s="16" t="str">
        <f>HYPERLINK("http://slimages.macys.com/is/image/MCY/19367312 ")</f>
        <v xml:space="preserve">http://slimages.macys.com/is/image/MCY/19367312 </v>
      </c>
      <c r="N302" s="30"/>
    </row>
    <row r="303" spans="1:14" ht="60" x14ac:dyDescent="0.25">
      <c r="A303" s="19" t="s">
        <v>3505</v>
      </c>
      <c r="B303" s="17" t="s">
        <v>3504</v>
      </c>
      <c r="C303" s="20">
        <v>1</v>
      </c>
      <c r="D303" s="18">
        <v>59.5</v>
      </c>
      <c r="E303" s="20" t="s">
        <v>3503</v>
      </c>
      <c r="F303" s="17" t="s">
        <v>58</v>
      </c>
      <c r="G303" s="19" t="s">
        <v>74</v>
      </c>
      <c r="H303" s="18">
        <v>11.206666666666667</v>
      </c>
      <c r="I303" s="17" t="s">
        <v>56</v>
      </c>
      <c r="J303" s="17" t="s">
        <v>55</v>
      </c>
      <c r="K303" s="17"/>
      <c r="L303" s="17"/>
      <c r="M303" s="16" t="str">
        <f>HYPERLINK("http://slimages.macys.com/is/image/MCY/18751512 ")</f>
        <v xml:space="preserve">http://slimages.macys.com/is/image/MCY/18751512 </v>
      </c>
      <c r="N303" s="30"/>
    </row>
    <row r="304" spans="1:14" ht="60" x14ac:dyDescent="0.25">
      <c r="A304" s="19" t="s">
        <v>3502</v>
      </c>
      <c r="B304" s="17" t="s">
        <v>3501</v>
      </c>
      <c r="C304" s="20">
        <v>1</v>
      </c>
      <c r="D304" s="18">
        <v>59.5</v>
      </c>
      <c r="E304" s="20" t="s">
        <v>374</v>
      </c>
      <c r="F304" s="17" t="s">
        <v>206</v>
      </c>
      <c r="G304" s="19" t="s">
        <v>62</v>
      </c>
      <c r="H304" s="18">
        <v>11.206666666666667</v>
      </c>
      <c r="I304" s="17" t="s">
        <v>56</v>
      </c>
      <c r="J304" s="17" t="s">
        <v>55</v>
      </c>
      <c r="K304" s="17"/>
      <c r="L304" s="17"/>
      <c r="M304" s="16" t="str">
        <f>HYPERLINK("http://slimages.macys.com/is/image/MCY/19367312 ")</f>
        <v xml:space="preserve">http://slimages.macys.com/is/image/MCY/19367312 </v>
      </c>
      <c r="N304" s="30"/>
    </row>
    <row r="305" spans="1:14" ht="60" x14ac:dyDescent="0.25">
      <c r="A305" s="19" t="s">
        <v>2649</v>
      </c>
      <c r="B305" s="17" t="s">
        <v>2648</v>
      </c>
      <c r="C305" s="20">
        <v>1</v>
      </c>
      <c r="D305" s="18">
        <v>59.5</v>
      </c>
      <c r="E305" s="20" t="s">
        <v>374</v>
      </c>
      <c r="F305" s="17" t="s">
        <v>91</v>
      </c>
      <c r="G305" s="19" t="s">
        <v>74</v>
      </c>
      <c r="H305" s="18">
        <v>11.206666666666667</v>
      </c>
      <c r="I305" s="17" t="s">
        <v>56</v>
      </c>
      <c r="J305" s="17" t="s">
        <v>55</v>
      </c>
      <c r="K305" s="17"/>
      <c r="L305" s="17"/>
      <c r="M305" s="16" t="str">
        <f>HYPERLINK("http://slimages.macys.com/is/image/MCY/19367312 ")</f>
        <v xml:space="preserve">http://slimages.macys.com/is/image/MCY/19367312 </v>
      </c>
      <c r="N305" s="30"/>
    </row>
    <row r="306" spans="1:14" ht="60" x14ac:dyDescent="0.25">
      <c r="A306" s="19" t="s">
        <v>3500</v>
      </c>
      <c r="B306" s="17" t="s">
        <v>3499</v>
      </c>
      <c r="C306" s="20">
        <v>1</v>
      </c>
      <c r="D306" s="18">
        <v>59.5</v>
      </c>
      <c r="E306" s="20" t="s">
        <v>3484</v>
      </c>
      <c r="F306" s="17" t="s">
        <v>206</v>
      </c>
      <c r="G306" s="19" t="s">
        <v>271</v>
      </c>
      <c r="H306" s="18">
        <v>11.2</v>
      </c>
      <c r="I306" s="17" t="s">
        <v>1891</v>
      </c>
      <c r="J306" s="17" t="s">
        <v>67</v>
      </c>
      <c r="K306" s="17"/>
      <c r="L306" s="17"/>
      <c r="M306" s="16" t="str">
        <f>HYPERLINK("http://slimages.macys.com/is/image/MCY/18982298 ")</f>
        <v xml:space="preserve">http://slimages.macys.com/is/image/MCY/18982298 </v>
      </c>
      <c r="N306" s="30"/>
    </row>
    <row r="307" spans="1:14" ht="60" x14ac:dyDescent="0.25">
      <c r="A307" s="19" t="s">
        <v>3498</v>
      </c>
      <c r="B307" s="17" t="s">
        <v>3497</v>
      </c>
      <c r="C307" s="20">
        <v>1</v>
      </c>
      <c r="D307" s="18">
        <v>48</v>
      </c>
      <c r="E307" s="20" t="s">
        <v>3496</v>
      </c>
      <c r="F307" s="17"/>
      <c r="G307" s="19" t="s">
        <v>62</v>
      </c>
      <c r="H307" s="18">
        <v>11.2</v>
      </c>
      <c r="I307" s="17" t="s">
        <v>80</v>
      </c>
      <c r="J307" s="17" t="s">
        <v>79</v>
      </c>
      <c r="K307" s="17" t="s">
        <v>637</v>
      </c>
      <c r="L307" s="17" t="s">
        <v>3495</v>
      </c>
      <c r="M307" s="16" t="str">
        <f>HYPERLINK("http://images.bloomingdales.com/is/image/BLM/11466009 ")</f>
        <v xml:space="preserve">http://images.bloomingdales.com/is/image/BLM/11466009 </v>
      </c>
      <c r="N307" s="30"/>
    </row>
    <row r="308" spans="1:14" ht="60" x14ac:dyDescent="0.25">
      <c r="A308" s="19" t="s">
        <v>3494</v>
      </c>
      <c r="B308" s="17" t="s">
        <v>3493</v>
      </c>
      <c r="C308" s="20">
        <v>1</v>
      </c>
      <c r="D308" s="18">
        <v>59.5</v>
      </c>
      <c r="E308" s="20" t="s">
        <v>3492</v>
      </c>
      <c r="F308" s="17" t="s">
        <v>140</v>
      </c>
      <c r="G308" s="19" t="s">
        <v>57</v>
      </c>
      <c r="H308" s="18">
        <v>11.2</v>
      </c>
      <c r="I308" s="17" t="s">
        <v>68</v>
      </c>
      <c r="J308" s="17" t="s">
        <v>67</v>
      </c>
      <c r="K308" s="17"/>
      <c r="L308" s="17"/>
      <c r="M308" s="16" t="str">
        <f>HYPERLINK("http://slimages.macys.com/is/image/MCY/18706203 ")</f>
        <v xml:space="preserve">http://slimages.macys.com/is/image/MCY/18706203 </v>
      </c>
      <c r="N308" s="30"/>
    </row>
    <row r="309" spans="1:14" ht="60" x14ac:dyDescent="0.25">
      <c r="A309" s="19" t="s">
        <v>3491</v>
      </c>
      <c r="B309" s="17" t="s">
        <v>3490</v>
      </c>
      <c r="C309" s="20">
        <v>2</v>
      </c>
      <c r="D309" s="18">
        <v>59.5</v>
      </c>
      <c r="E309" s="20" t="s">
        <v>3484</v>
      </c>
      <c r="F309" s="17" t="s">
        <v>206</v>
      </c>
      <c r="G309" s="19" t="s">
        <v>351</v>
      </c>
      <c r="H309" s="18">
        <v>11.2</v>
      </c>
      <c r="I309" s="17" t="s">
        <v>1891</v>
      </c>
      <c r="J309" s="17" t="s">
        <v>67</v>
      </c>
      <c r="K309" s="17"/>
      <c r="L309" s="17"/>
      <c r="M309" s="16" t="str">
        <f>HYPERLINK("http://slimages.macys.com/is/image/MCY/18982298 ")</f>
        <v xml:space="preserve">http://slimages.macys.com/is/image/MCY/18982298 </v>
      </c>
      <c r="N309" s="30"/>
    </row>
    <row r="310" spans="1:14" ht="60" x14ac:dyDescent="0.25">
      <c r="A310" s="19" t="s">
        <v>3489</v>
      </c>
      <c r="B310" s="17" t="s">
        <v>3488</v>
      </c>
      <c r="C310" s="20">
        <v>1</v>
      </c>
      <c r="D310" s="18">
        <v>59.5</v>
      </c>
      <c r="E310" s="20" t="s">
        <v>3487</v>
      </c>
      <c r="F310" s="17" t="s">
        <v>272</v>
      </c>
      <c r="G310" s="19" t="s">
        <v>62</v>
      </c>
      <c r="H310" s="18">
        <v>11.2</v>
      </c>
      <c r="I310" s="17" t="s">
        <v>56</v>
      </c>
      <c r="J310" s="17" t="s">
        <v>55</v>
      </c>
      <c r="K310" s="17"/>
      <c r="L310" s="17"/>
      <c r="M310" s="16" t="str">
        <f>HYPERLINK("http://slimages.macys.com/is/image/MCY/18614084 ")</f>
        <v xml:space="preserve">http://slimages.macys.com/is/image/MCY/18614084 </v>
      </c>
      <c r="N310" s="30"/>
    </row>
    <row r="311" spans="1:14" ht="60" x14ac:dyDescent="0.25">
      <c r="A311" s="19" t="s">
        <v>3486</v>
      </c>
      <c r="B311" s="17" t="s">
        <v>3485</v>
      </c>
      <c r="C311" s="20">
        <v>1</v>
      </c>
      <c r="D311" s="18">
        <v>59.5</v>
      </c>
      <c r="E311" s="20" t="s">
        <v>3484</v>
      </c>
      <c r="F311" s="17" t="s">
        <v>206</v>
      </c>
      <c r="G311" s="19" t="s">
        <v>139</v>
      </c>
      <c r="H311" s="18">
        <v>11.2</v>
      </c>
      <c r="I311" s="17" t="s">
        <v>1891</v>
      </c>
      <c r="J311" s="17" t="s">
        <v>67</v>
      </c>
      <c r="K311" s="17"/>
      <c r="L311" s="17"/>
      <c r="M311" s="16" t="str">
        <f>HYPERLINK("http://slimages.macys.com/is/image/MCY/18982298 ")</f>
        <v xml:space="preserve">http://slimages.macys.com/is/image/MCY/18982298 </v>
      </c>
      <c r="N311" s="30"/>
    </row>
    <row r="312" spans="1:14" ht="72" x14ac:dyDescent="0.25">
      <c r="A312" s="19" t="s">
        <v>3483</v>
      </c>
      <c r="B312" s="17" t="s">
        <v>3482</v>
      </c>
      <c r="C312" s="20">
        <v>1</v>
      </c>
      <c r="D312" s="18">
        <v>59</v>
      </c>
      <c r="E312" s="20" t="s">
        <v>2635</v>
      </c>
      <c r="F312" s="17" t="s">
        <v>63</v>
      </c>
      <c r="G312" s="19" t="s">
        <v>197</v>
      </c>
      <c r="H312" s="18">
        <v>11.113333333333333</v>
      </c>
      <c r="I312" s="17" t="s">
        <v>56</v>
      </c>
      <c r="J312" s="17" t="s">
        <v>55</v>
      </c>
      <c r="K312" s="17" t="s">
        <v>389</v>
      </c>
      <c r="L312" s="17" t="s">
        <v>2634</v>
      </c>
      <c r="M312" s="16" t="str">
        <f>HYPERLINK("http://slimages.macys.com/is/image/MCY/13985479 ")</f>
        <v xml:space="preserve">http://slimages.macys.com/is/image/MCY/13985479 </v>
      </c>
      <c r="N312" s="30"/>
    </row>
    <row r="313" spans="1:14" ht="60" x14ac:dyDescent="0.25">
      <c r="A313" s="19" t="s">
        <v>3481</v>
      </c>
      <c r="B313" s="17" t="s">
        <v>3480</v>
      </c>
      <c r="C313" s="20">
        <v>1</v>
      </c>
      <c r="D313" s="18">
        <v>59</v>
      </c>
      <c r="E313" s="20" t="s">
        <v>2638</v>
      </c>
      <c r="F313" s="17" t="s">
        <v>51</v>
      </c>
      <c r="G313" s="19" t="s">
        <v>197</v>
      </c>
      <c r="H313" s="18">
        <v>11.106666666666667</v>
      </c>
      <c r="I313" s="17" t="s">
        <v>56</v>
      </c>
      <c r="J313" s="17" t="s">
        <v>55</v>
      </c>
      <c r="K313" s="17" t="s">
        <v>389</v>
      </c>
      <c r="L313" s="17" t="s">
        <v>1129</v>
      </c>
      <c r="M313" s="16" t="str">
        <f t="shared" ref="M313:M318" si="0">HYPERLINK("http://slimages.macys.com/is/image/MCY/14443374 ")</f>
        <v xml:space="preserve">http://slimages.macys.com/is/image/MCY/14443374 </v>
      </c>
      <c r="N313" s="30"/>
    </row>
    <row r="314" spans="1:14" ht="60" x14ac:dyDescent="0.25">
      <c r="A314" s="19" t="s">
        <v>3479</v>
      </c>
      <c r="B314" s="17" t="s">
        <v>3478</v>
      </c>
      <c r="C314" s="20">
        <v>1</v>
      </c>
      <c r="D314" s="18">
        <v>59</v>
      </c>
      <c r="E314" s="20" t="s">
        <v>2638</v>
      </c>
      <c r="F314" s="17" t="s">
        <v>91</v>
      </c>
      <c r="G314" s="19" t="s">
        <v>62</v>
      </c>
      <c r="H314" s="18">
        <v>11.106666666666667</v>
      </c>
      <c r="I314" s="17" t="s">
        <v>56</v>
      </c>
      <c r="J314" s="17" t="s">
        <v>55</v>
      </c>
      <c r="K314" s="17" t="s">
        <v>389</v>
      </c>
      <c r="L314" s="17" t="s">
        <v>1129</v>
      </c>
      <c r="M314" s="16" t="str">
        <f t="shared" si="0"/>
        <v xml:space="preserve">http://slimages.macys.com/is/image/MCY/14443374 </v>
      </c>
      <c r="N314" s="30"/>
    </row>
    <row r="315" spans="1:14" ht="60" x14ac:dyDescent="0.25">
      <c r="A315" s="19" t="s">
        <v>3477</v>
      </c>
      <c r="B315" s="17" t="s">
        <v>3476</v>
      </c>
      <c r="C315" s="20">
        <v>1</v>
      </c>
      <c r="D315" s="18">
        <v>59</v>
      </c>
      <c r="E315" s="20" t="s">
        <v>2638</v>
      </c>
      <c r="F315" s="17" t="s">
        <v>28</v>
      </c>
      <c r="G315" s="19" t="s">
        <v>74</v>
      </c>
      <c r="H315" s="18">
        <v>11.106666666666667</v>
      </c>
      <c r="I315" s="17" t="s">
        <v>56</v>
      </c>
      <c r="J315" s="17" t="s">
        <v>55</v>
      </c>
      <c r="K315" s="17" t="s">
        <v>389</v>
      </c>
      <c r="L315" s="17" t="s">
        <v>1129</v>
      </c>
      <c r="M315" s="16" t="str">
        <f t="shared" si="0"/>
        <v xml:space="preserve">http://slimages.macys.com/is/image/MCY/14443374 </v>
      </c>
      <c r="N315" s="30"/>
    </row>
    <row r="316" spans="1:14" ht="60" x14ac:dyDescent="0.25">
      <c r="A316" s="19" t="s">
        <v>2640</v>
      </c>
      <c r="B316" s="17" t="s">
        <v>2639</v>
      </c>
      <c r="C316" s="20">
        <v>1</v>
      </c>
      <c r="D316" s="18">
        <v>59</v>
      </c>
      <c r="E316" s="20" t="s">
        <v>2638</v>
      </c>
      <c r="F316" s="17" t="s">
        <v>28</v>
      </c>
      <c r="G316" s="19" t="s">
        <v>27</v>
      </c>
      <c r="H316" s="18">
        <v>11.106666666666667</v>
      </c>
      <c r="I316" s="17" t="s">
        <v>56</v>
      </c>
      <c r="J316" s="17" t="s">
        <v>55</v>
      </c>
      <c r="K316" s="17" t="s">
        <v>389</v>
      </c>
      <c r="L316" s="17" t="s">
        <v>1129</v>
      </c>
      <c r="M316" s="16" t="str">
        <f t="shared" si="0"/>
        <v xml:space="preserve">http://slimages.macys.com/is/image/MCY/14443374 </v>
      </c>
      <c r="N316" s="30"/>
    </row>
    <row r="317" spans="1:14" ht="60" x14ac:dyDescent="0.25">
      <c r="A317" s="19" t="s">
        <v>3475</v>
      </c>
      <c r="B317" s="17" t="s">
        <v>3474</v>
      </c>
      <c r="C317" s="20">
        <v>1</v>
      </c>
      <c r="D317" s="18">
        <v>59</v>
      </c>
      <c r="E317" s="20" t="s">
        <v>2638</v>
      </c>
      <c r="F317" s="17" t="s">
        <v>91</v>
      </c>
      <c r="G317" s="19" t="s">
        <v>57</v>
      </c>
      <c r="H317" s="18">
        <v>11.106666666666667</v>
      </c>
      <c r="I317" s="17" t="s">
        <v>56</v>
      </c>
      <c r="J317" s="17" t="s">
        <v>55</v>
      </c>
      <c r="K317" s="17" t="s">
        <v>389</v>
      </c>
      <c r="L317" s="17" t="s">
        <v>1129</v>
      </c>
      <c r="M317" s="16" t="str">
        <f t="shared" si="0"/>
        <v xml:space="preserve">http://slimages.macys.com/is/image/MCY/14443374 </v>
      </c>
      <c r="N317" s="30"/>
    </row>
    <row r="318" spans="1:14" ht="60" x14ac:dyDescent="0.25">
      <c r="A318" s="19" t="s">
        <v>3473</v>
      </c>
      <c r="B318" s="17" t="s">
        <v>3472</v>
      </c>
      <c r="C318" s="20">
        <v>1</v>
      </c>
      <c r="D318" s="18">
        <v>59</v>
      </c>
      <c r="E318" s="20" t="s">
        <v>2638</v>
      </c>
      <c r="F318" s="17" t="s">
        <v>28</v>
      </c>
      <c r="G318" s="19" t="s">
        <v>57</v>
      </c>
      <c r="H318" s="18">
        <v>11.106666666666667</v>
      </c>
      <c r="I318" s="17" t="s">
        <v>56</v>
      </c>
      <c r="J318" s="17" t="s">
        <v>55</v>
      </c>
      <c r="K318" s="17" t="s">
        <v>389</v>
      </c>
      <c r="L318" s="17" t="s">
        <v>1129</v>
      </c>
      <c r="M318" s="16" t="str">
        <f t="shared" si="0"/>
        <v xml:space="preserve">http://slimages.macys.com/is/image/MCY/14443374 </v>
      </c>
      <c r="N318" s="30"/>
    </row>
    <row r="319" spans="1:14" ht="60" x14ac:dyDescent="0.25">
      <c r="A319" s="19" t="s">
        <v>3471</v>
      </c>
      <c r="B319" s="17" t="s">
        <v>3470</v>
      </c>
      <c r="C319" s="20">
        <v>1</v>
      </c>
      <c r="D319" s="18">
        <v>59</v>
      </c>
      <c r="E319" s="20" t="s">
        <v>3469</v>
      </c>
      <c r="F319" s="17" t="s">
        <v>58</v>
      </c>
      <c r="G319" s="19"/>
      <c r="H319" s="18">
        <v>11.013333333333334</v>
      </c>
      <c r="I319" s="17" t="s">
        <v>33</v>
      </c>
      <c r="J319" s="17" t="s">
        <v>404</v>
      </c>
      <c r="K319" s="17"/>
      <c r="L319" s="17"/>
      <c r="M319" s="16" t="str">
        <f>HYPERLINK("http://slimages.macys.com/is/image/MCY/19530528 ")</f>
        <v xml:space="preserve">http://slimages.macys.com/is/image/MCY/19530528 </v>
      </c>
      <c r="N319" s="30"/>
    </row>
    <row r="320" spans="1:14" ht="60" x14ac:dyDescent="0.25">
      <c r="A320" s="19" t="s">
        <v>2624</v>
      </c>
      <c r="B320" s="17" t="s">
        <v>2623</v>
      </c>
      <c r="C320" s="20">
        <v>1</v>
      </c>
      <c r="D320" s="18">
        <v>59</v>
      </c>
      <c r="E320" s="20" t="s">
        <v>2622</v>
      </c>
      <c r="F320" s="17" t="s">
        <v>2575</v>
      </c>
      <c r="G320" s="19" t="s">
        <v>43</v>
      </c>
      <c r="H320" s="18">
        <v>10.893333333333333</v>
      </c>
      <c r="I320" s="17" t="s">
        <v>405</v>
      </c>
      <c r="J320" s="17" t="s">
        <v>404</v>
      </c>
      <c r="K320" s="17"/>
      <c r="L320" s="17"/>
      <c r="M320" s="16" t="str">
        <f>HYPERLINK("http://slimages.macys.com/is/image/MCY/18867810 ")</f>
        <v xml:space="preserve">http://slimages.macys.com/is/image/MCY/18867810 </v>
      </c>
      <c r="N320" s="30"/>
    </row>
    <row r="321" spans="1:14" ht="60" x14ac:dyDescent="0.25">
      <c r="A321" s="19" t="s">
        <v>3468</v>
      </c>
      <c r="B321" s="17" t="s">
        <v>3467</v>
      </c>
      <c r="C321" s="20">
        <v>1</v>
      </c>
      <c r="D321" s="18">
        <v>59</v>
      </c>
      <c r="E321" s="20" t="s">
        <v>3466</v>
      </c>
      <c r="F321" s="17" t="s">
        <v>85</v>
      </c>
      <c r="G321" s="19" t="s">
        <v>197</v>
      </c>
      <c r="H321" s="18">
        <v>10.893333333333333</v>
      </c>
      <c r="I321" s="17" t="s">
        <v>405</v>
      </c>
      <c r="J321" s="17" t="s">
        <v>404</v>
      </c>
      <c r="K321" s="17"/>
      <c r="L321" s="17"/>
      <c r="M321" s="16" t="str">
        <f>HYPERLINK("http://slimages.macys.com/is/image/MCY/19411385 ")</f>
        <v xml:space="preserve">http://slimages.macys.com/is/image/MCY/19411385 </v>
      </c>
      <c r="N321" s="30"/>
    </row>
    <row r="322" spans="1:14" ht="60" x14ac:dyDescent="0.25">
      <c r="A322" s="19" t="s">
        <v>3465</v>
      </c>
      <c r="B322" s="17" t="s">
        <v>3464</v>
      </c>
      <c r="C322" s="20">
        <v>1</v>
      </c>
      <c r="D322" s="18">
        <v>58</v>
      </c>
      <c r="E322" s="20" t="s">
        <v>3122</v>
      </c>
      <c r="F322" s="17" t="s">
        <v>91</v>
      </c>
      <c r="G322" s="19" t="s">
        <v>27</v>
      </c>
      <c r="H322" s="18">
        <v>10.826666666666668</v>
      </c>
      <c r="I322" s="17" t="s">
        <v>80</v>
      </c>
      <c r="J322" s="17" t="s">
        <v>183</v>
      </c>
      <c r="K322" s="17"/>
      <c r="L322" s="17"/>
      <c r="M322" s="16" t="str">
        <f>HYPERLINK("http://slimages.macys.com/is/image/MCY/19062288 ")</f>
        <v xml:space="preserve">http://slimages.macys.com/is/image/MCY/19062288 </v>
      </c>
      <c r="N322" s="30"/>
    </row>
    <row r="323" spans="1:14" ht="60" x14ac:dyDescent="0.25">
      <c r="A323" s="19" t="s">
        <v>3463</v>
      </c>
      <c r="B323" s="17" t="s">
        <v>3462</v>
      </c>
      <c r="C323" s="20">
        <v>1</v>
      </c>
      <c r="D323" s="18">
        <v>49</v>
      </c>
      <c r="E323" s="20" t="s">
        <v>3461</v>
      </c>
      <c r="F323" s="17" t="s">
        <v>345</v>
      </c>
      <c r="G323" s="19" t="s">
        <v>50</v>
      </c>
      <c r="H323" s="18">
        <v>10.813333333333334</v>
      </c>
      <c r="I323" s="17" t="s">
        <v>49</v>
      </c>
      <c r="J323" s="17" t="s">
        <v>48</v>
      </c>
      <c r="K323" s="17"/>
      <c r="L323" s="17"/>
      <c r="M323" s="16" t="str">
        <f>HYPERLINK("http://slimages.macys.com/is/image/MCY/19447893 ")</f>
        <v xml:space="preserve">http://slimages.macys.com/is/image/MCY/19447893 </v>
      </c>
      <c r="N323" s="30"/>
    </row>
    <row r="324" spans="1:14" ht="60" x14ac:dyDescent="0.25">
      <c r="A324" s="19" t="s">
        <v>3460</v>
      </c>
      <c r="B324" s="17" t="s">
        <v>3459</v>
      </c>
      <c r="C324" s="20">
        <v>1</v>
      </c>
      <c r="D324" s="18">
        <v>49</v>
      </c>
      <c r="E324" s="20" t="s">
        <v>327</v>
      </c>
      <c r="F324" s="17" t="s">
        <v>216</v>
      </c>
      <c r="G324" s="19" t="s">
        <v>50</v>
      </c>
      <c r="H324" s="18">
        <v>10.813333333333334</v>
      </c>
      <c r="I324" s="17" t="s">
        <v>49</v>
      </c>
      <c r="J324" s="17" t="s">
        <v>48</v>
      </c>
      <c r="K324" s="17"/>
      <c r="L324" s="17"/>
      <c r="M324" s="16" t="str">
        <f>HYPERLINK("http://slimages.macys.com/is/image/MCY/18254944 ")</f>
        <v xml:space="preserve">http://slimages.macys.com/is/image/MCY/18254944 </v>
      </c>
      <c r="N324" s="30"/>
    </row>
    <row r="325" spans="1:14" ht="60" x14ac:dyDescent="0.25">
      <c r="A325" s="19" t="s">
        <v>3458</v>
      </c>
      <c r="B325" s="17" t="s">
        <v>3457</v>
      </c>
      <c r="C325" s="20">
        <v>2</v>
      </c>
      <c r="D325" s="18">
        <v>49</v>
      </c>
      <c r="E325" s="20" t="s">
        <v>327</v>
      </c>
      <c r="F325" s="17" t="s">
        <v>216</v>
      </c>
      <c r="G325" s="19" t="s">
        <v>22</v>
      </c>
      <c r="H325" s="18">
        <v>10.813333333333334</v>
      </c>
      <c r="I325" s="17" t="s">
        <v>49</v>
      </c>
      <c r="J325" s="17" t="s">
        <v>48</v>
      </c>
      <c r="K325" s="17"/>
      <c r="L325" s="17"/>
      <c r="M325" s="16" t="str">
        <f>HYPERLINK("http://slimages.macys.com/is/image/MCY/18254944 ")</f>
        <v xml:space="preserve">http://slimages.macys.com/is/image/MCY/18254944 </v>
      </c>
      <c r="N325" s="30"/>
    </row>
    <row r="326" spans="1:14" ht="60" x14ac:dyDescent="0.25">
      <c r="A326" s="19" t="s">
        <v>3456</v>
      </c>
      <c r="B326" s="17" t="s">
        <v>3455</v>
      </c>
      <c r="C326" s="20">
        <v>1</v>
      </c>
      <c r="D326" s="18">
        <v>49</v>
      </c>
      <c r="E326" s="20" t="s">
        <v>3454</v>
      </c>
      <c r="F326" s="17" t="s">
        <v>216</v>
      </c>
      <c r="G326" s="19" t="s">
        <v>17</v>
      </c>
      <c r="H326" s="18">
        <v>10.813333333333334</v>
      </c>
      <c r="I326" s="17" t="s">
        <v>49</v>
      </c>
      <c r="J326" s="17" t="s">
        <v>48</v>
      </c>
      <c r="K326" s="17"/>
      <c r="L326" s="17"/>
      <c r="M326" s="16" t="str">
        <f>HYPERLINK("http://slimages.macys.com/is/image/MCY/18255044 ")</f>
        <v xml:space="preserve">http://slimages.macys.com/is/image/MCY/18255044 </v>
      </c>
      <c r="N326" s="30"/>
    </row>
    <row r="327" spans="1:14" ht="60" x14ac:dyDescent="0.25">
      <c r="A327" s="19" t="s">
        <v>3453</v>
      </c>
      <c r="B327" s="17" t="s">
        <v>3452</v>
      </c>
      <c r="C327" s="20">
        <v>1</v>
      </c>
      <c r="D327" s="18">
        <v>49</v>
      </c>
      <c r="E327" s="20" t="s">
        <v>1843</v>
      </c>
      <c r="F327" s="17" t="s">
        <v>140</v>
      </c>
      <c r="G327" s="19"/>
      <c r="H327" s="18">
        <v>10.813333333333334</v>
      </c>
      <c r="I327" s="17" t="s">
        <v>49</v>
      </c>
      <c r="J327" s="17" t="s">
        <v>48</v>
      </c>
      <c r="K327" s="17"/>
      <c r="L327" s="17"/>
      <c r="M327" s="16" t="str">
        <f>HYPERLINK("http://slimages.macys.com/is/image/MCY/19191520 ")</f>
        <v xml:space="preserve">http://slimages.macys.com/is/image/MCY/19191520 </v>
      </c>
      <c r="N327" s="30"/>
    </row>
    <row r="328" spans="1:14" ht="60" x14ac:dyDescent="0.25">
      <c r="A328" s="19" t="s">
        <v>3451</v>
      </c>
      <c r="B328" s="17" t="s">
        <v>3450</v>
      </c>
      <c r="C328" s="20">
        <v>1</v>
      </c>
      <c r="D328" s="18">
        <v>49</v>
      </c>
      <c r="E328" s="20" t="s">
        <v>52</v>
      </c>
      <c r="F328" s="17" t="s">
        <v>345</v>
      </c>
      <c r="G328" s="19" t="s">
        <v>22</v>
      </c>
      <c r="H328" s="18">
        <v>10.813333333333334</v>
      </c>
      <c r="I328" s="17" t="s">
        <v>49</v>
      </c>
      <c r="J328" s="17" t="s">
        <v>48</v>
      </c>
      <c r="K328" s="17"/>
      <c r="L328" s="17"/>
      <c r="M328" s="16" t="str">
        <f>HYPERLINK("http://slimages.macys.com/is/image/MCY/19193563 ")</f>
        <v xml:space="preserve">http://slimages.macys.com/is/image/MCY/19193563 </v>
      </c>
      <c r="N328" s="30"/>
    </row>
    <row r="329" spans="1:14" ht="60" x14ac:dyDescent="0.25">
      <c r="A329" s="19" t="s">
        <v>3449</v>
      </c>
      <c r="B329" s="17" t="s">
        <v>3448</v>
      </c>
      <c r="C329" s="20">
        <v>2</v>
      </c>
      <c r="D329" s="18">
        <v>41.3</v>
      </c>
      <c r="E329" s="20" t="s">
        <v>3441</v>
      </c>
      <c r="F329" s="17" t="s">
        <v>1536</v>
      </c>
      <c r="G329" s="19" t="s">
        <v>69</v>
      </c>
      <c r="H329" s="18">
        <v>10.773333333333335</v>
      </c>
      <c r="I329" s="17" t="s">
        <v>42</v>
      </c>
      <c r="J329" s="17" t="s">
        <v>41</v>
      </c>
      <c r="K329" s="17"/>
      <c r="L329" s="17"/>
      <c r="M329" s="16" t="str">
        <f>HYPERLINK("http://slimages.macys.com/is/image/MCY/19112230 ")</f>
        <v xml:space="preserve">http://slimages.macys.com/is/image/MCY/19112230 </v>
      </c>
      <c r="N329" s="30"/>
    </row>
    <row r="330" spans="1:14" ht="60" x14ac:dyDescent="0.25">
      <c r="A330" s="19" t="s">
        <v>3447</v>
      </c>
      <c r="B330" s="17" t="s">
        <v>3446</v>
      </c>
      <c r="C330" s="20">
        <v>6</v>
      </c>
      <c r="D330" s="18">
        <v>41.3</v>
      </c>
      <c r="E330" s="20" t="s">
        <v>3441</v>
      </c>
      <c r="F330" s="17" t="s">
        <v>1536</v>
      </c>
      <c r="G330" s="19" t="s">
        <v>197</v>
      </c>
      <c r="H330" s="18">
        <v>10.773333333333335</v>
      </c>
      <c r="I330" s="17" t="s">
        <v>42</v>
      </c>
      <c r="J330" s="17" t="s">
        <v>41</v>
      </c>
      <c r="K330" s="17"/>
      <c r="L330" s="17"/>
      <c r="M330" s="16" t="str">
        <f>HYPERLINK("http://slimages.macys.com/is/image/MCY/19112230 ")</f>
        <v xml:space="preserve">http://slimages.macys.com/is/image/MCY/19112230 </v>
      </c>
      <c r="N330" s="30"/>
    </row>
    <row r="331" spans="1:14" ht="60" x14ac:dyDescent="0.25">
      <c r="A331" s="19" t="s">
        <v>3445</v>
      </c>
      <c r="B331" s="17" t="s">
        <v>3444</v>
      </c>
      <c r="C331" s="20">
        <v>1</v>
      </c>
      <c r="D331" s="18">
        <v>41.3</v>
      </c>
      <c r="E331" s="20" t="s">
        <v>3441</v>
      </c>
      <c r="F331" s="17" t="s">
        <v>1536</v>
      </c>
      <c r="G331" s="19" t="s">
        <v>57</v>
      </c>
      <c r="H331" s="18">
        <v>10.773333333333335</v>
      </c>
      <c r="I331" s="17" t="s">
        <v>42</v>
      </c>
      <c r="J331" s="17" t="s">
        <v>41</v>
      </c>
      <c r="K331" s="17"/>
      <c r="L331" s="17"/>
      <c r="M331" s="16" t="str">
        <f>HYPERLINK("http://slimages.macys.com/is/image/MCY/19112230 ")</f>
        <v xml:space="preserve">http://slimages.macys.com/is/image/MCY/19112230 </v>
      </c>
      <c r="N331" s="30"/>
    </row>
    <row r="332" spans="1:14" ht="60" x14ac:dyDescent="0.25">
      <c r="A332" s="19" t="s">
        <v>3443</v>
      </c>
      <c r="B332" s="17" t="s">
        <v>3442</v>
      </c>
      <c r="C332" s="20">
        <v>1</v>
      </c>
      <c r="D332" s="18">
        <v>41.3</v>
      </c>
      <c r="E332" s="20" t="s">
        <v>3441</v>
      </c>
      <c r="F332" s="17" t="s">
        <v>1536</v>
      </c>
      <c r="G332" s="19" t="s">
        <v>43</v>
      </c>
      <c r="H332" s="18">
        <v>10.773333333333335</v>
      </c>
      <c r="I332" s="17" t="s">
        <v>42</v>
      </c>
      <c r="J332" s="17" t="s">
        <v>41</v>
      </c>
      <c r="K332" s="17"/>
      <c r="L332" s="17"/>
      <c r="M332" s="16" t="str">
        <f>HYPERLINK("http://slimages.macys.com/is/image/MCY/19112230 ")</f>
        <v xml:space="preserve">http://slimages.macys.com/is/image/MCY/19112230 </v>
      </c>
      <c r="N332" s="30"/>
    </row>
    <row r="333" spans="1:14" ht="60" x14ac:dyDescent="0.25">
      <c r="A333" s="19" t="s">
        <v>3440</v>
      </c>
      <c r="B333" s="17" t="s">
        <v>3439</v>
      </c>
      <c r="C333" s="20">
        <v>1</v>
      </c>
      <c r="D333" s="18">
        <v>69</v>
      </c>
      <c r="E333" s="20" t="s">
        <v>3438</v>
      </c>
      <c r="F333" s="17" t="s">
        <v>1815</v>
      </c>
      <c r="G333" s="19" t="s">
        <v>749</v>
      </c>
      <c r="H333" s="18">
        <v>10.666666666666668</v>
      </c>
      <c r="I333" s="17" t="s">
        <v>148</v>
      </c>
      <c r="J333" s="17" t="s">
        <v>409</v>
      </c>
      <c r="K333" s="17"/>
      <c r="L333" s="17"/>
      <c r="M333" s="16" t="str">
        <f>HYPERLINK("http://slimages.macys.com/is/image/MCY/18719409 ")</f>
        <v xml:space="preserve">http://slimages.macys.com/is/image/MCY/18719409 </v>
      </c>
      <c r="N333" s="30"/>
    </row>
    <row r="334" spans="1:14" ht="60" x14ac:dyDescent="0.25">
      <c r="A334" s="19" t="s">
        <v>3437</v>
      </c>
      <c r="B334" s="17" t="s">
        <v>3436</v>
      </c>
      <c r="C334" s="20">
        <v>9</v>
      </c>
      <c r="D334" s="18">
        <v>49.5</v>
      </c>
      <c r="E334" s="20" t="s">
        <v>3433</v>
      </c>
      <c r="F334" s="17" t="s">
        <v>58</v>
      </c>
      <c r="G334" s="19" t="s">
        <v>69</v>
      </c>
      <c r="H334" s="18">
        <v>10.5</v>
      </c>
      <c r="I334" s="17" t="s">
        <v>80</v>
      </c>
      <c r="J334" s="17" t="s">
        <v>531</v>
      </c>
      <c r="K334" s="17"/>
      <c r="L334" s="17"/>
      <c r="M334" s="16" t="str">
        <f>HYPERLINK("http://slimages.macys.com/is/image/MCY/18364454 ")</f>
        <v xml:space="preserve">http://slimages.macys.com/is/image/MCY/18364454 </v>
      </c>
      <c r="N334" s="30"/>
    </row>
    <row r="335" spans="1:14" ht="60" x14ac:dyDescent="0.25">
      <c r="A335" s="19" t="s">
        <v>3435</v>
      </c>
      <c r="B335" s="17" t="s">
        <v>3434</v>
      </c>
      <c r="C335" s="20">
        <v>1</v>
      </c>
      <c r="D335" s="18">
        <v>49.5</v>
      </c>
      <c r="E335" s="20" t="s">
        <v>3433</v>
      </c>
      <c r="F335" s="17" t="s">
        <v>58</v>
      </c>
      <c r="G335" s="19" t="s">
        <v>57</v>
      </c>
      <c r="H335" s="18">
        <v>10.5</v>
      </c>
      <c r="I335" s="17" t="s">
        <v>80</v>
      </c>
      <c r="J335" s="17" t="s">
        <v>531</v>
      </c>
      <c r="K335" s="17"/>
      <c r="L335" s="17"/>
      <c r="M335" s="16" t="str">
        <f>HYPERLINK("http://slimages.macys.com/is/image/MCY/18364454 ")</f>
        <v xml:space="preserve">http://slimages.macys.com/is/image/MCY/18364454 </v>
      </c>
      <c r="N335" s="30"/>
    </row>
    <row r="336" spans="1:14" ht="60" x14ac:dyDescent="0.25">
      <c r="A336" s="19" t="s">
        <v>3432</v>
      </c>
      <c r="B336" s="17" t="s">
        <v>3431</v>
      </c>
      <c r="C336" s="20">
        <v>1</v>
      </c>
      <c r="D336" s="18">
        <v>49</v>
      </c>
      <c r="E336" s="20" t="s">
        <v>3430</v>
      </c>
      <c r="F336" s="17" t="s">
        <v>91</v>
      </c>
      <c r="G336" s="19" t="s">
        <v>62</v>
      </c>
      <c r="H336" s="18">
        <v>10.46</v>
      </c>
      <c r="I336" s="17" t="s">
        <v>49</v>
      </c>
      <c r="J336" s="17" t="s">
        <v>48</v>
      </c>
      <c r="K336" s="17"/>
      <c r="L336" s="17"/>
      <c r="M336" s="16" t="str">
        <f>HYPERLINK("http://slimages.macys.com/is/image/MCY/18255204 ")</f>
        <v xml:space="preserve">http://slimages.macys.com/is/image/MCY/18255204 </v>
      </c>
      <c r="N336" s="30"/>
    </row>
    <row r="337" spans="1:14" ht="60" x14ac:dyDescent="0.25">
      <c r="A337" s="19" t="s">
        <v>3429</v>
      </c>
      <c r="B337" s="17" t="s">
        <v>3428</v>
      </c>
      <c r="C337" s="20">
        <v>1</v>
      </c>
      <c r="D337" s="18">
        <v>54</v>
      </c>
      <c r="E337" s="20" t="s">
        <v>3427</v>
      </c>
      <c r="F337" s="17"/>
      <c r="G337" s="19"/>
      <c r="H337" s="18">
        <v>10.08</v>
      </c>
      <c r="I337" s="17" t="s">
        <v>80</v>
      </c>
      <c r="J337" s="17" t="s">
        <v>183</v>
      </c>
      <c r="K337" s="17"/>
      <c r="L337" s="17"/>
      <c r="M337" s="16" t="str">
        <f>HYPERLINK("http://slimages.macys.com/is/image/MCY/18743789 ")</f>
        <v xml:space="preserve">http://slimages.macys.com/is/image/MCY/18743789 </v>
      </c>
      <c r="N337" s="30"/>
    </row>
    <row r="338" spans="1:14" ht="60" x14ac:dyDescent="0.25">
      <c r="A338" s="19" t="s">
        <v>3426</v>
      </c>
      <c r="B338" s="17" t="s">
        <v>3425</v>
      </c>
      <c r="C338" s="20">
        <v>1</v>
      </c>
      <c r="D338" s="18">
        <v>69.5</v>
      </c>
      <c r="E338" s="20" t="s">
        <v>3424</v>
      </c>
      <c r="F338" s="17" t="s">
        <v>263</v>
      </c>
      <c r="G338" s="19" t="s">
        <v>749</v>
      </c>
      <c r="H338" s="18">
        <v>10.066666666666666</v>
      </c>
      <c r="I338" s="17" t="s">
        <v>68</v>
      </c>
      <c r="J338" s="17" t="s">
        <v>67</v>
      </c>
      <c r="K338" s="17"/>
      <c r="L338" s="17"/>
      <c r="M338" s="16" t="str">
        <f>HYPERLINK("http://slimages.macys.com/is/image/MCY/9271553 ")</f>
        <v xml:space="preserve">http://slimages.macys.com/is/image/MCY/9271553 </v>
      </c>
      <c r="N338" s="30"/>
    </row>
    <row r="339" spans="1:14" ht="60" x14ac:dyDescent="0.25">
      <c r="A339" s="19" t="s">
        <v>3423</v>
      </c>
      <c r="B339" s="17" t="s">
        <v>3422</v>
      </c>
      <c r="C339" s="20">
        <v>1</v>
      </c>
      <c r="D339" s="18">
        <v>69</v>
      </c>
      <c r="E339" s="20">
        <v>2321311</v>
      </c>
      <c r="F339" s="17" t="s">
        <v>23</v>
      </c>
      <c r="G339" s="19" t="s">
        <v>50</v>
      </c>
      <c r="H339" s="18">
        <v>10</v>
      </c>
      <c r="I339" s="17" t="s">
        <v>80</v>
      </c>
      <c r="J339" s="17" t="s">
        <v>293</v>
      </c>
      <c r="K339" s="17"/>
      <c r="L339" s="17"/>
      <c r="M339" s="16" t="str">
        <f>HYPERLINK("http://slimages.macys.com/is/image/MCY/18947668 ")</f>
        <v xml:space="preserve">http://slimages.macys.com/is/image/MCY/18947668 </v>
      </c>
      <c r="N339" s="30"/>
    </row>
    <row r="340" spans="1:14" ht="60" x14ac:dyDescent="0.25">
      <c r="A340" s="19" t="s">
        <v>3421</v>
      </c>
      <c r="B340" s="17" t="s">
        <v>3420</v>
      </c>
      <c r="C340" s="20">
        <v>1</v>
      </c>
      <c r="D340" s="18">
        <v>49.5</v>
      </c>
      <c r="E340" s="20" t="s">
        <v>3419</v>
      </c>
      <c r="F340" s="17" t="s">
        <v>85</v>
      </c>
      <c r="G340" s="19" t="s">
        <v>57</v>
      </c>
      <c r="H340" s="18">
        <v>9.9733333333333345</v>
      </c>
      <c r="I340" s="17" t="s">
        <v>106</v>
      </c>
      <c r="J340" s="17" t="s">
        <v>105</v>
      </c>
      <c r="K340" s="17"/>
      <c r="L340" s="17"/>
      <c r="M340" s="16" t="str">
        <f>HYPERLINK("http://slimages.macys.com/is/image/MCY/19848992 ")</f>
        <v xml:space="preserve">http://slimages.macys.com/is/image/MCY/19848992 </v>
      </c>
      <c r="N340" s="30"/>
    </row>
    <row r="341" spans="1:14" ht="60" x14ac:dyDescent="0.25">
      <c r="A341" s="19" t="s">
        <v>3418</v>
      </c>
      <c r="B341" s="17" t="s">
        <v>3417</v>
      </c>
      <c r="C341" s="20">
        <v>1</v>
      </c>
      <c r="D341" s="18">
        <v>59.5</v>
      </c>
      <c r="E341" s="20" t="s">
        <v>310</v>
      </c>
      <c r="F341" s="17" t="s">
        <v>51</v>
      </c>
      <c r="G341" s="19" t="s">
        <v>74</v>
      </c>
      <c r="H341" s="18">
        <v>9.9733333333333345</v>
      </c>
      <c r="I341" s="17" t="s">
        <v>106</v>
      </c>
      <c r="J341" s="17" t="s">
        <v>105</v>
      </c>
      <c r="K341" s="17"/>
      <c r="L341" s="17"/>
      <c r="M341" s="16" t="str">
        <f>HYPERLINK("http://slimages.macys.com/is/image/MCY/18651073 ")</f>
        <v xml:space="preserve">http://slimages.macys.com/is/image/MCY/18651073 </v>
      </c>
      <c r="N341" s="30"/>
    </row>
    <row r="342" spans="1:14" ht="60" x14ac:dyDescent="0.25">
      <c r="A342" s="19" t="s">
        <v>3416</v>
      </c>
      <c r="B342" s="17" t="s">
        <v>3415</v>
      </c>
      <c r="C342" s="20">
        <v>1</v>
      </c>
      <c r="D342" s="18">
        <v>59.5</v>
      </c>
      <c r="E342" s="20" t="s">
        <v>310</v>
      </c>
      <c r="F342" s="17" t="s">
        <v>433</v>
      </c>
      <c r="G342" s="19" t="s">
        <v>74</v>
      </c>
      <c r="H342" s="18">
        <v>9.9733333333333345</v>
      </c>
      <c r="I342" s="17" t="s">
        <v>106</v>
      </c>
      <c r="J342" s="17" t="s">
        <v>105</v>
      </c>
      <c r="K342" s="17"/>
      <c r="L342" s="17"/>
      <c r="M342" s="16" t="str">
        <f>HYPERLINK("http://slimages.macys.com/is/image/MCY/18651073 ")</f>
        <v xml:space="preserve">http://slimages.macys.com/is/image/MCY/18651073 </v>
      </c>
      <c r="N342" s="30"/>
    </row>
    <row r="343" spans="1:14" ht="60" x14ac:dyDescent="0.25">
      <c r="A343" s="19" t="s">
        <v>3414</v>
      </c>
      <c r="B343" s="17" t="s">
        <v>3413</v>
      </c>
      <c r="C343" s="20">
        <v>1</v>
      </c>
      <c r="D343" s="18">
        <v>59.5</v>
      </c>
      <c r="E343" s="20">
        <v>30159485</v>
      </c>
      <c r="F343" s="17" t="s">
        <v>23</v>
      </c>
      <c r="G343" s="19" t="s">
        <v>62</v>
      </c>
      <c r="H343" s="18">
        <v>9.92</v>
      </c>
      <c r="I343" s="17" t="s">
        <v>481</v>
      </c>
      <c r="J343" s="17" t="s">
        <v>480</v>
      </c>
      <c r="K343" s="17"/>
      <c r="L343" s="17"/>
      <c r="M343" s="16" t="str">
        <f>HYPERLINK("http://slimages.macys.com/is/image/MCY/21169349 ")</f>
        <v xml:space="preserve">http://slimages.macys.com/is/image/MCY/21169349 </v>
      </c>
      <c r="N343" s="30"/>
    </row>
    <row r="344" spans="1:14" ht="60" x14ac:dyDescent="0.25">
      <c r="A344" s="19" t="s">
        <v>3412</v>
      </c>
      <c r="B344" s="17" t="s">
        <v>3411</v>
      </c>
      <c r="C344" s="20">
        <v>1</v>
      </c>
      <c r="D344" s="18">
        <v>49</v>
      </c>
      <c r="E344" s="20">
        <v>10813218</v>
      </c>
      <c r="F344" s="17" t="s">
        <v>575</v>
      </c>
      <c r="G344" s="19" t="s">
        <v>271</v>
      </c>
      <c r="H344" s="18">
        <v>9.8000000000000007</v>
      </c>
      <c r="I344" s="17" t="s">
        <v>358</v>
      </c>
      <c r="J344" s="17" t="s">
        <v>554</v>
      </c>
      <c r="K344" s="17"/>
      <c r="L344" s="17"/>
      <c r="M344" s="16" t="str">
        <f>HYPERLINK("http://slimages.macys.com/is/image/MCY/19634022 ")</f>
        <v xml:space="preserve">http://slimages.macys.com/is/image/MCY/19634022 </v>
      </c>
      <c r="N344" s="30"/>
    </row>
    <row r="345" spans="1:14" ht="60" x14ac:dyDescent="0.25">
      <c r="A345" s="19" t="s">
        <v>3410</v>
      </c>
      <c r="B345" s="17" t="s">
        <v>3409</v>
      </c>
      <c r="C345" s="20">
        <v>1</v>
      </c>
      <c r="D345" s="18">
        <v>69</v>
      </c>
      <c r="E345" s="20" t="s">
        <v>1819</v>
      </c>
      <c r="F345" s="17" t="s">
        <v>23</v>
      </c>
      <c r="G345" s="19" t="s">
        <v>57</v>
      </c>
      <c r="H345" s="18">
        <v>9.8000000000000007</v>
      </c>
      <c r="I345" s="17" t="s">
        <v>405</v>
      </c>
      <c r="J345" s="17" t="s">
        <v>404</v>
      </c>
      <c r="K345" s="17"/>
      <c r="L345" s="17"/>
      <c r="M345" s="16" t="str">
        <f>HYPERLINK("http://slimages.macys.com/is/image/MCY/19043167 ")</f>
        <v xml:space="preserve">http://slimages.macys.com/is/image/MCY/19043167 </v>
      </c>
      <c r="N345" s="30"/>
    </row>
    <row r="346" spans="1:14" ht="60" x14ac:dyDescent="0.25">
      <c r="A346" s="19" t="s">
        <v>3408</v>
      </c>
      <c r="B346" s="17" t="s">
        <v>3407</v>
      </c>
      <c r="C346" s="20">
        <v>1</v>
      </c>
      <c r="D346" s="18">
        <v>50</v>
      </c>
      <c r="E346" s="20" t="s">
        <v>3406</v>
      </c>
      <c r="F346" s="17" t="s">
        <v>28</v>
      </c>
      <c r="G346" s="19" t="s">
        <v>50</v>
      </c>
      <c r="H346" s="18">
        <v>9.7666666666666675</v>
      </c>
      <c r="I346" s="17" t="s">
        <v>16</v>
      </c>
      <c r="J346" s="17" t="s">
        <v>15</v>
      </c>
      <c r="K346" s="17"/>
      <c r="L346" s="17"/>
      <c r="M346" s="16" t="str">
        <f>HYPERLINK("http://slimages.macys.com/is/image/MCY/18438519 ")</f>
        <v xml:space="preserve">http://slimages.macys.com/is/image/MCY/18438519 </v>
      </c>
      <c r="N346" s="30"/>
    </row>
    <row r="347" spans="1:14" ht="60" x14ac:dyDescent="0.25">
      <c r="A347" s="19" t="s">
        <v>3405</v>
      </c>
      <c r="B347" s="17" t="s">
        <v>3404</v>
      </c>
      <c r="C347" s="20">
        <v>1</v>
      </c>
      <c r="D347" s="18">
        <v>49.5</v>
      </c>
      <c r="E347" s="20" t="s">
        <v>3403</v>
      </c>
      <c r="F347" s="17" t="s">
        <v>23</v>
      </c>
      <c r="G347" s="19" t="s">
        <v>271</v>
      </c>
      <c r="H347" s="18">
        <v>9.32</v>
      </c>
      <c r="I347" s="17" t="s">
        <v>1891</v>
      </c>
      <c r="J347" s="17" t="s">
        <v>2435</v>
      </c>
      <c r="K347" s="17"/>
      <c r="L347" s="17"/>
      <c r="M347" s="16" t="str">
        <f>HYPERLINK("http://slimages.macys.com/is/image/MCY/19018261 ")</f>
        <v xml:space="preserve">http://slimages.macys.com/is/image/MCY/19018261 </v>
      </c>
      <c r="N347" s="30"/>
    </row>
    <row r="348" spans="1:14" ht="60" x14ac:dyDescent="0.25">
      <c r="A348" s="19" t="s">
        <v>3402</v>
      </c>
      <c r="B348" s="17" t="s">
        <v>3401</v>
      </c>
      <c r="C348" s="20">
        <v>1</v>
      </c>
      <c r="D348" s="18">
        <v>49.5</v>
      </c>
      <c r="E348" s="20" t="s">
        <v>3400</v>
      </c>
      <c r="F348" s="17" t="s">
        <v>2575</v>
      </c>
      <c r="G348" s="19" t="s">
        <v>57</v>
      </c>
      <c r="H348" s="18">
        <v>9.32</v>
      </c>
      <c r="I348" s="17" t="s">
        <v>68</v>
      </c>
      <c r="J348" s="17" t="s">
        <v>67</v>
      </c>
      <c r="K348" s="17"/>
      <c r="L348" s="17"/>
      <c r="M348" s="16" t="str">
        <f>HYPERLINK("http://slimages.macys.com/is/image/MCY/18431773 ")</f>
        <v xml:space="preserve">http://slimages.macys.com/is/image/MCY/18431773 </v>
      </c>
      <c r="N348" s="30"/>
    </row>
    <row r="349" spans="1:14" ht="60" x14ac:dyDescent="0.25">
      <c r="A349" s="19" t="s">
        <v>3399</v>
      </c>
      <c r="B349" s="17" t="s">
        <v>3398</v>
      </c>
      <c r="C349" s="20">
        <v>1</v>
      </c>
      <c r="D349" s="18">
        <v>49.5</v>
      </c>
      <c r="E349" s="20" t="s">
        <v>3397</v>
      </c>
      <c r="F349" s="17" t="s">
        <v>91</v>
      </c>
      <c r="G349" s="19" t="s">
        <v>351</v>
      </c>
      <c r="H349" s="18">
        <v>9.32</v>
      </c>
      <c r="I349" s="17" t="s">
        <v>1891</v>
      </c>
      <c r="J349" s="17" t="s">
        <v>2435</v>
      </c>
      <c r="K349" s="17"/>
      <c r="L349" s="17"/>
      <c r="M349" s="16" t="str">
        <f>HYPERLINK("http://slimages.macys.com/is/image/MCY/19189840 ")</f>
        <v xml:space="preserve">http://slimages.macys.com/is/image/MCY/19189840 </v>
      </c>
      <c r="N349" s="30"/>
    </row>
    <row r="350" spans="1:14" ht="60" x14ac:dyDescent="0.25">
      <c r="A350" s="19" t="s">
        <v>2585</v>
      </c>
      <c r="B350" s="17" t="s">
        <v>2584</v>
      </c>
      <c r="C350" s="20">
        <v>1</v>
      </c>
      <c r="D350" s="18">
        <v>49.5</v>
      </c>
      <c r="E350" s="20" t="s">
        <v>286</v>
      </c>
      <c r="F350" s="17" t="s">
        <v>91</v>
      </c>
      <c r="G350" s="19" t="s">
        <v>62</v>
      </c>
      <c r="H350" s="18">
        <v>9.32</v>
      </c>
      <c r="I350" s="17" t="s">
        <v>56</v>
      </c>
      <c r="J350" s="17" t="s">
        <v>55</v>
      </c>
      <c r="K350" s="17"/>
      <c r="L350" s="17"/>
      <c r="M350" s="16" t="str">
        <f>HYPERLINK("http://slimages.macys.com/is/image/MCY/16687507 ")</f>
        <v xml:space="preserve">http://slimages.macys.com/is/image/MCY/16687507 </v>
      </c>
      <c r="N350" s="30"/>
    </row>
    <row r="351" spans="1:14" ht="60" x14ac:dyDescent="0.25">
      <c r="A351" s="19" t="s">
        <v>3396</v>
      </c>
      <c r="B351" s="17" t="s">
        <v>3395</v>
      </c>
      <c r="C351" s="20">
        <v>1</v>
      </c>
      <c r="D351" s="18">
        <v>49.5</v>
      </c>
      <c r="E351" s="20" t="s">
        <v>3394</v>
      </c>
      <c r="F351" s="17" t="s">
        <v>390</v>
      </c>
      <c r="G351" s="19" t="s">
        <v>69</v>
      </c>
      <c r="H351" s="18">
        <v>9.32</v>
      </c>
      <c r="I351" s="17" t="s">
        <v>56</v>
      </c>
      <c r="J351" s="17" t="s">
        <v>55</v>
      </c>
      <c r="K351" s="17"/>
      <c r="L351" s="17"/>
      <c r="M351" s="16" t="str">
        <f>HYPERLINK("http://slimages.macys.com/is/image/MCY/19019681 ")</f>
        <v xml:space="preserve">http://slimages.macys.com/is/image/MCY/19019681 </v>
      </c>
      <c r="N351" s="30"/>
    </row>
    <row r="352" spans="1:14" ht="60" x14ac:dyDescent="0.25">
      <c r="A352" s="19" t="s">
        <v>3393</v>
      </c>
      <c r="B352" s="17" t="s">
        <v>3392</v>
      </c>
      <c r="C352" s="20">
        <v>2</v>
      </c>
      <c r="D352" s="18">
        <v>49.5</v>
      </c>
      <c r="E352" s="20" t="s">
        <v>286</v>
      </c>
      <c r="F352" s="17" t="s">
        <v>91</v>
      </c>
      <c r="G352" s="19" t="s">
        <v>74</v>
      </c>
      <c r="H352" s="18">
        <v>9.32</v>
      </c>
      <c r="I352" s="17" t="s">
        <v>56</v>
      </c>
      <c r="J352" s="17" t="s">
        <v>55</v>
      </c>
      <c r="K352" s="17"/>
      <c r="L352" s="17"/>
      <c r="M352" s="16" t="str">
        <f>HYPERLINK("http://slimages.macys.com/is/image/MCY/16687507 ")</f>
        <v xml:space="preserve">http://slimages.macys.com/is/image/MCY/16687507 </v>
      </c>
      <c r="N352" s="30"/>
    </row>
    <row r="353" spans="1:14" ht="60" x14ac:dyDescent="0.25">
      <c r="A353" s="19" t="s">
        <v>290</v>
      </c>
      <c r="B353" s="17" t="s">
        <v>289</v>
      </c>
      <c r="C353" s="20">
        <v>3</v>
      </c>
      <c r="D353" s="18">
        <v>49.5</v>
      </c>
      <c r="E353" s="20" t="s">
        <v>286</v>
      </c>
      <c r="F353" s="17" t="s">
        <v>91</v>
      </c>
      <c r="G353" s="19" t="s">
        <v>57</v>
      </c>
      <c r="H353" s="18">
        <v>9.32</v>
      </c>
      <c r="I353" s="17" t="s">
        <v>56</v>
      </c>
      <c r="J353" s="17" t="s">
        <v>55</v>
      </c>
      <c r="K353" s="17"/>
      <c r="L353" s="17"/>
      <c r="M353" s="16" t="str">
        <f>HYPERLINK("http://slimages.macys.com/is/image/MCY/16687507 ")</f>
        <v xml:space="preserve">http://slimages.macys.com/is/image/MCY/16687507 </v>
      </c>
      <c r="N353" s="30"/>
    </row>
    <row r="354" spans="1:14" ht="60" x14ac:dyDescent="0.25">
      <c r="A354" s="19" t="s">
        <v>2590</v>
      </c>
      <c r="B354" s="17" t="s">
        <v>2589</v>
      </c>
      <c r="C354" s="20">
        <v>3</v>
      </c>
      <c r="D354" s="18">
        <v>49.5</v>
      </c>
      <c r="E354" s="20" t="s">
        <v>286</v>
      </c>
      <c r="F354" s="17" t="s">
        <v>91</v>
      </c>
      <c r="G354" s="19" t="s">
        <v>197</v>
      </c>
      <c r="H354" s="18">
        <v>9.32</v>
      </c>
      <c r="I354" s="17" t="s">
        <v>56</v>
      </c>
      <c r="J354" s="17" t="s">
        <v>55</v>
      </c>
      <c r="K354" s="17"/>
      <c r="L354" s="17"/>
      <c r="M354" s="16" t="str">
        <f>HYPERLINK("http://slimages.macys.com/is/image/MCY/16687507 ")</f>
        <v xml:space="preserve">http://slimages.macys.com/is/image/MCY/16687507 </v>
      </c>
      <c r="N354" s="30"/>
    </row>
    <row r="355" spans="1:14" ht="60" x14ac:dyDescent="0.25">
      <c r="A355" s="19" t="s">
        <v>3391</v>
      </c>
      <c r="B355" s="17" t="s">
        <v>3390</v>
      </c>
      <c r="C355" s="20">
        <v>1</v>
      </c>
      <c r="D355" s="18">
        <v>49.5</v>
      </c>
      <c r="E355" s="20" t="s">
        <v>3387</v>
      </c>
      <c r="F355" s="17" t="s">
        <v>23</v>
      </c>
      <c r="G355" s="19" t="s">
        <v>62</v>
      </c>
      <c r="H355" s="18">
        <v>9.32</v>
      </c>
      <c r="I355" s="17" t="s">
        <v>56</v>
      </c>
      <c r="J355" s="17" t="s">
        <v>55</v>
      </c>
      <c r="K355" s="17"/>
      <c r="L355" s="17"/>
      <c r="M355" s="16" t="str">
        <f>HYPERLINK("http://slimages.macys.com/is/image/MCY/19395207 ")</f>
        <v xml:space="preserve">http://slimages.macys.com/is/image/MCY/19395207 </v>
      </c>
      <c r="N355" s="30"/>
    </row>
    <row r="356" spans="1:14" ht="60" x14ac:dyDescent="0.25">
      <c r="A356" s="19" t="s">
        <v>3389</v>
      </c>
      <c r="B356" s="17" t="s">
        <v>3388</v>
      </c>
      <c r="C356" s="20">
        <v>1</v>
      </c>
      <c r="D356" s="18">
        <v>49.5</v>
      </c>
      <c r="E356" s="20" t="s">
        <v>3387</v>
      </c>
      <c r="F356" s="17" t="s">
        <v>23</v>
      </c>
      <c r="G356" s="19" t="s">
        <v>74</v>
      </c>
      <c r="H356" s="18">
        <v>9.32</v>
      </c>
      <c r="I356" s="17" t="s">
        <v>56</v>
      </c>
      <c r="J356" s="17" t="s">
        <v>55</v>
      </c>
      <c r="K356" s="17"/>
      <c r="L356" s="17"/>
      <c r="M356" s="16" t="str">
        <f>HYPERLINK("http://slimages.macys.com/is/image/MCY/19395207 ")</f>
        <v xml:space="preserve">http://slimages.macys.com/is/image/MCY/19395207 </v>
      </c>
      <c r="N356" s="30"/>
    </row>
    <row r="357" spans="1:14" ht="60" x14ac:dyDescent="0.25">
      <c r="A357" s="19" t="s">
        <v>3386</v>
      </c>
      <c r="B357" s="17" t="s">
        <v>3385</v>
      </c>
      <c r="C357" s="20">
        <v>1</v>
      </c>
      <c r="D357" s="18">
        <v>49.5</v>
      </c>
      <c r="E357" s="20" t="s">
        <v>3384</v>
      </c>
      <c r="F357" s="17" t="s">
        <v>359</v>
      </c>
      <c r="G357" s="19" t="s">
        <v>62</v>
      </c>
      <c r="H357" s="18">
        <v>9.32</v>
      </c>
      <c r="I357" s="17" t="s">
        <v>68</v>
      </c>
      <c r="J357" s="17" t="s">
        <v>67</v>
      </c>
      <c r="K357" s="17"/>
      <c r="L357" s="17"/>
      <c r="M357" s="16" t="str">
        <f>HYPERLINK("http://slimages.macys.com/is/image/MCY/19179008 ")</f>
        <v xml:space="preserve">http://slimages.macys.com/is/image/MCY/19179008 </v>
      </c>
      <c r="N357" s="30"/>
    </row>
    <row r="358" spans="1:14" ht="60" x14ac:dyDescent="0.25">
      <c r="A358" s="19" t="s">
        <v>3383</v>
      </c>
      <c r="B358" s="17" t="s">
        <v>3382</v>
      </c>
      <c r="C358" s="20">
        <v>1</v>
      </c>
      <c r="D358" s="18">
        <v>49.5</v>
      </c>
      <c r="E358" s="20" t="s">
        <v>286</v>
      </c>
      <c r="F358" s="17" t="s">
        <v>51</v>
      </c>
      <c r="G358" s="19" t="s">
        <v>69</v>
      </c>
      <c r="H358" s="18">
        <v>9.32</v>
      </c>
      <c r="I358" s="17" t="s">
        <v>56</v>
      </c>
      <c r="J358" s="17" t="s">
        <v>55</v>
      </c>
      <c r="K358" s="17"/>
      <c r="L358" s="17"/>
      <c r="M358" s="16" t="str">
        <f>HYPERLINK("http://slimages.macys.com/is/image/MCY/19254685 ")</f>
        <v xml:space="preserve">http://slimages.macys.com/is/image/MCY/19254685 </v>
      </c>
      <c r="N358" s="30"/>
    </row>
    <row r="359" spans="1:14" ht="60" x14ac:dyDescent="0.25">
      <c r="A359" s="19" t="s">
        <v>3381</v>
      </c>
      <c r="B359" s="17" t="s">
        <v>3380</v>
      </c>
      <c r="C359" s="20">
        <v>1</v>
      </c>
      <c r="D359" s="18">
        <v>35</v>
      </c>
      <c r="E359" s="20" t="s">
        <v>279</v>
      </c>
      <c r="F359" s="17" t="s">
        <v>51</v>
      </c>
      <c r="G359" s="19" t="s">
        <v>50</v>
      </c>
      <c r="H359" s="18">
        <v>9.2533333333333339</v>
      </c>
      <c r="I359" s="17" t="s">
        <v>16</v>
      </c>
      <c r="J359" s="17" t="s">
        <v>15</v>
      </c>
      <c r="K359" s="17"/>
      <c r="L359" s="17"/>
      <c r="M359" s="16" t="str">
        <f>HYPERLINK("http://slimages.macys.com/is/image/MCY/19026313 ")</f>
        <v xml:space="preserve">http://slimages.macys.com/is/image/MCY/19026313 </v>
      </c>
      <c r="N359" s="30"/>
    </row>
    <row r="360" spans="1:14" ht="72" x14ac:dyDescent="0.25">
      <c r="A360" s="19" t="s">
        <v>3379</v>
      </c>
      <c r="B360" s="17" t="s">
        <v>3378</v>
      </c>
      <c r="C360" s="20">
        <v>1</v>
      </c>
      <c r="D360" s="18">
        <v>49</v>
      </c>
      <c r="E360" s="20" t="s">
        <v>3377</v>
      </c>
      <c r="F360" s="17" t="s">
        <v>51</v>
      </c>
      <c r="G360" s="19" t="s">
        <v>57</v>
      </c>
      <c r="H360" s="18">
        <v>9.2266666666666666</v>
      </c>
      <c r="I360" s="17" t="s">
        <v>56</v>
      </c>
      <c r="J360" s="17" t="s">
        <v>55</v>
      </c>
      <c r="K360" s="17" t="s">
        <v>389</v>
      </c>
      <c r="L360" s="17" t="s">
        <v>3376</v>
      </c>
      <c r="M360" s="16" t="str">
        <f>HYPERLINK("http://slimages.macys.com/is/image/MCY/14367767 ")</f>
        <v xml:space="preserve">http://slimages.macys.com/is/image/MCY/14367767 </v>
      </c>
      <c r="N360" s="30"/>
    </row>
    <row r="361" spans="1:14" ht="60" x14ac:dyDescent="0.25">
      <c r="A361" s="19" t="s">
        <v>3375</v>
      </c>
      <c r="B361" s="17" t="s">
        <v>3374</v>
      </c>
      <c r="C361" s="20">
        <v>1</v>
      </c>
      <c r="D361" s="18">
        <v>49</v>
      </c>
      <c r="E361" s="20">
        <v>10706056</v>
      </c>
      <c r="F361" s="17" t="s">
        <v>23</v>
      </c>
      <c r="G361" s="19" t="s">
        <v>197</v>
      </c>
      <c r="H361" s="18">
        <v>9.1466666666666683</v>
      </c>
      <c r="I361" s="17" t="s">
        <v>120</v>
      </c>
      <c r="J361" s="17" t="s">
        <v>119</v>
      </c>
      <c r="K361" s="17" t="s">
        <v>389</v>
      </c>
      <c r="L361" s="17" t="s">
        <v>1359</v>
      </c>
      <c r="M361" s="16" t="str">
        <f>HYPERLINK("http://slimages.macys.com/is/image/MCY/16533933 ")</f>
        <v xml:space="preserve">http://slimages.macys.com/is/image/MCY/16533933 </v>
      </c>
      <c r="N361" s="30"/>
    </row>
    <row r="362" spans="1:14" ht="60" x14ac:dyDescent="0.25">
      <c r="A362" s="19" t="s">
        <v>3373</v>
      </c>
      <c r="B362" s="17" t="s">
        <v>3372</v>
      </c>
      <c r="C362" s="20">
        <v>1</v>
      </c>
      <c r="D362" s="18">
        <v>49.5</v>
      </c>
      <c r="E362" s="20" t="s">
        <v>276</v>
      </c>
      <c r="F362" s="17" t="s">
        <v>1356</v>
      </c>
      <c r="G362" s="19" t="s">
        <v>351</v>
      </c>
      <c r="H362" s="18">
        <v>9.0733333333333341</v>
      </c>
      <c r="I362" s="17" t="s">
        <v>267</v>
      </c>
      <c r="J362" s="17" t="s">
        <v>32</v>
      </c>
      <c r="K362" s="17"/>
      <c r="L362" s="17"/>
      <c r="M362" s="16" t="str">
        <f>HYPERLINK("http://slimages.macys.com/is/image/MCY/19268965 ")</f>
        <v xml:space="preserve">http://slimages.macys.com/is/image/MCY/19268965 </v>
      </c>
      <c r="N362" s="30"/>
    </row>
    <row r="363" spans="1:14" ht="60" x14ac:dyDescent="0.25">
      <c r="A363" s="19" t="s">
        <v>3371</v>
      </c>
      <c r="B363" s="17" t="s">
        <v>3370</v>
      </c>
      <c r="C363" s="20">
        <v>1</v>
      </c>
      <c r="D363" s="18">
        <v>49.5</v>
      </c>
      <c r="E363" s="20" t="s">
        <v>3369</v>
      </c>
      <c r="F363" s="17" t="s">
        <v>51</v>
      </c>
      <c r="G363" s="19" t="s">
        <v>271</v>
      </c>
      <c r="H363" s="18">
        <v>9.0733333333333341</v>
      </c>
      <c r="I363" s="17" t="s">
        <v>267</v>
      </c>
      <c r="J363" s="17" t="s">
        <v>32</v>
      </c>
      <c r="K363" s="17"/>
      <c r="L363" s="17"/>
      <c r="M363" s="16" t="str">
        <f>HYPERLINK("http://slimages.macys.com/is/image/MCY/18747591 ")</f>
        <v xml:space="preserve">http://slimages.macys.com/is/image/MCY/18747591 </v>
      </c>
      <c r="N363" s="30"/>
    </row>
    <row r="364" spans="1:14" ht="60" x14ac:dyDescent="0.25">
      <c r="A364" s="19" t="s">
        <v>3368</v>
      </c>
      <c r="B364" s="17" t="s">
        <v>3367</v>
      </c>
      <c r="C364" s="20">
        <v>1</v>
      </c>
      <c r="D364" s="18">
        <v>49</v>
      </c>
      <c r="E364" s="20" t="s">
        <v>3366</v>
      </c>
      <c r="F364" s="17" t="s">
        <v>734</v>
      </c>
      <c r="G364" s="19" t="s">
        <v>197</v>
      </c>
      <c r="H364" s="18">
        <v>9.0466666666666669</v>
      </c>
      <c r="I364" s="17" t="s">
        <v>405</v>
      </c>
      <c r="J364" s="17" t="s">
        <v>404</v>
      </c>
      <c r="K364" s="17"/>
      <c r="L364" s="17"/>
      <c r="M364" s="16" t="str">
        <f>HYPERLINK("http://slimages.macys.com/is/image/MCY/19526144 ")</f>
        <v xml:space="preserve">http://slimages.macys.com/is/image/MCY/19526144 </v>
      </c>
      <c r="N364" s="30"/>
    </row>
    <row r="365" spans="1:14" ht="60" x14ac:dyDescent="0.25">
      <c r="A365" s="19" t="s">
        <v>3365</v>
      </c>
      <c r="B365" s="17" t="s">
        <v>3364</v>
      </c>
      <c r="C365" s="20">
        <v>1</v>
      </c>
      <c r="D365" s="18">
        <v>48</v>
      </c>
      <c r="E365" s="20" t="s">
        <v>3363</v>
      </c>
      <c r="F365" s="17"/>
      <c r="G365" s="19"/>
      <c r="H365" s="18">
        <v>8.9600000000000009</v>
      </c>
      <c r="I365" s="17" t="s">
        <v>80</v>
      </c>
      <c r="J365" s="17" t="s">
        <v>183</v>
      </c>
      <c r="K365" s="17"/>
      <c r="L365" s="17"/>
      <c r="M365" s="16" t="str">
        <f>HYPERLINK("http://slimages.macys.com/is/image/MCY/19062231 ")</f>
        <v xml:space="preserve">http://slimages.macys.com/is/image/MCY/19062231 </v>
      </c>
      <c r="N365" s="30"/>
    </row>
    <row r="366" spans="1:14" ht="60" x14ac:dyDescent="0.25">
      <c r="A366" s="19" t="s">
        <v>3362</v>
      </c>
      <c r="B366" s="17" t="s">
        <v>3361</v>
      </c>
      <c r="C366" s="20">
        <v>1</v>
      </c>
      <c r="D366" s="18">
        <v>48</v>
      </c>
      <c r="E366" s="20" t="s">
        <v>264</v>
      </c>
      <c r="F366" s="17" t="s">
        <v>263</v>
      </c>
      <c r="G366" s="19" t="s">
        <v>74</v>
      </c>
      <c r="H366" s="18">
        <v>8.9600000000000009</v>
      </c>
      <c r="I366" s="17" t="s">
        <v>80</v>
      </c>
      <c r="J366" s="17" t="s">
        <v>183</v>
      </c>
      <c r="K366" s="17"/>
      <c r="L366" s="17"/>
      <c r="M366" s="16" t="str">
        <f>HYPERLINK("http://slimages.macys.com/is/image/MCY/18940894 ")</f>
        <v xml:space="preserve">http://slimages.macys.com/is/image/MCY/18940894 </v>
      </c>
      <c r="N366" s="30"/>
    </row>
    <row r="367" spans="1:14" ht="60" x14ac:dyDescent="0.25">
      <c r="A367" s="19" t="s">
        <v>2568</v>
      </c>
      <c r="B367" s="17" t="s">
        <v>2567</v>
      </c>
      <c r="C367" s="20">
        <v>6</v>
      </c>
      <c r="D367" s="18">
        <v>34.299999999999997</v>
      </c>
      <c r="E367" s="20" t="s">
        <v>260</v>
      </c>
      <c r="F367" s="17" t="s">
        <v>91</v>
      </c>
      <c r="G367" s="19" t="s">
        <v>197</v>
      </c>
      <c r="H367" s="18">
        <v>8.9466666666666672</v>
      </c>
      <c r="I367" s="17" t="s">
        <v>42</v>
      </c>
      <c r="J367" s="17" t="s">
        <v>41</v>
      </c>
      <c r="K367" s="17"/>
      <c r="L367" s="17"/>
      <c r="M367" s="16" t="str">
        <f>HYPERLINK("http://slimages.macys.com/is/image/MCY/18549055 ")</f>
        <v xml:space="preserve">http://slimages.macys.com/is/image/MCY/18549055 </v>
      </c>
      <c r="N367" s="30"/>
    </row>
    <row r="368" spans="1:14" ht="60" x14ac:dyDescent="0.25">
      <c r="A368" s="19" t="s">
        <v>3360</v>
      </c>
      <c r="B368" s="17" t="s">
        <v>3359</v>
      </c>
      <c r="C368" s="20">
        <v>1</v>
      </c>
      <c r="D368" s="18">
        <v>34.299999999999997</v>
      </c>
      <c r="E368" s="20" t="s">
        <v>3358</v>
      </c>
      <c r="F368" s="17" t="s">
        <v>23</v>
      </c>
      <c r="G368" s="19" t="s">
        <v>62</v>
      </c>
      <c r="H368" s="18">
        <v>8.9466666666666672</v>
      </c>
      <c r="I368" s="17" t="s">
        <v>42</v>
      </c>
      <c r="J368" s="17" t="s">
        <v>41</v>
      </c>
      <c r="K368" s="17"/>
      <c r="L368" s="17"/>
      <c r="M368" s="16" t="str">
        <f>HYPERLINK("http://slimages.macys.com/is/image/MCY/19112188 ")</f>
        <v xml:space="preserve">http://slimages.macys.com/is/image/MCY/19112188 </v>
      </c>
      <c r="N368" s="30"/>
    </row>
    <row r="369" spans="1:14" ht="60" x14ac:dyDescent="0.25">
      <c r="A369" s="19" t="s">
        <v>3357</v>
      </c>
      <c r="B369" s="17" t="s">
        <v>3356</v>
      </c>
      <c r="C369" s="20">
        <v>1</v>
      </c>
      <c r="D369" s="18">
        <v>34.299999999999997</v>
      </c>
      <c r="E369" s="20" t="s">
        <v>2564</v>
      </c>
      <c r="F369" s="17" t="s">
        <v>63</v>
      </c>
      <c r="G369" s="19" t="s">
        <v>197</v>
      </c>
      <c r="H369" s="18">
        <v>8.9466666666666672</v>
      </c>
      <c r="I369" s="17" t="s">
        <v>42</v>
      </c>
      <c r="J369" s="17" t="s">
        <v>41</v>
      </c>
      <c r="K369" s="17"/>
      <c r="L369" s="17"/>
      <c r="M369" s="16" t="str">
        <f>HYPERLINK("http://slimages.macys.com/is/image/MCY/18545282 ")</f>
        <v xml:space="preserve">http://slimages.macys.com/is/image/MCY/18545282 </v>
      </c>
      <c r="N369" s="30"/>
    </row>
    <row r="370" spans="1:14" ht="60" x14ac:dyDescent="0.25">
      <c r="A370" s="19" t="s">
        <v>3355</v>
      </c>
      <c r="B370" s="17" t="s">
        <v>3354</v>
      </c>
      <c r="C370" s="20">
        <v>1</v>
      </c>
      <c r="D370" s="18">
        <v>38</v>
      </c>
      <c r="E370" s="20" t="s">
        <v>3353</v>
      </c>
      <c r="F370" s="17" t="s">
        <v>164</v>
      </c>
      <c r="G370" s="19" t="s">
        <v>62</v>
      </c>
      <c r="H370" s="18">
        <v>8.8666666666666671</v>
      </c>
      <c r="I370" s="17" t="s">
        <v>80</v>
      </c>
      <c r="J370" s="17" t="s">
        <v>79</v>
      </c>
      <c r="K370" s="17"/>
      <c r="L370" s="17"/>
      <c r="M370" s="16" t="str">
        <f>HYPERLINK("http://slimages.macys.com/is/image/MCY/18593618 ")</f>
        <v xml:space="preserve">http://slimages.macys.com/is/image/MCY/18593618 </v>
      </c>
      <c r="N370" s="30"/>
    </row>
    <row r="371" spans="1:14" ht="60" x14ac:dyDescent="0.25">
      <c r="A371" s="19" t="s">
        <v>3352</v>
      </c>
      <c r="B371" s="17" t="s">
        <v>3351</v>
      </c>
      <c r="C371" s="20">
        <v>1</v>
      </c>
      <c r="D371" s="18">
        <v>39</v>
      </c>
      <c r="E371" s="20" t="s">
        <v>254</v>
      </c>
      <c r="F371" s="17" t="s">
        <v>81</v>
      </c>
      <c r="G371" s="19" t="s">
        <v>1140</v>
      </c>
      <c r="H371" s="18">
        <v>8.6066666666666674</v>
      </c>
      <c r="I371" s="17" t="s">
        <v>49</v>
      </c>
      <c r="J371" s="17" t="s">
        <v>48</v>
      </c>
      <c r="K371" s="17"/>
      <c r="L371" s="17"/>
      <c r="M371" s="16" t="str">
        <f>HYPERLINK("http://slimages.macys.com/is/image/MCY/19191577 ")</f>
        <v xml:space="preserve">http://slimages.macys.com/is/image/MCY/19191577 </v>
      </c>
      <c r="N371" s="30"/>
    </row>
    <row r="372" spans="1:14" ht="60" x14ac:dyDescent="0.25">
      <c r="A372" s="19" t="s">
        <v>3350</v>
      </c>
      <c r="B372" s="17" t="s">
        <v>3349</v>
      </c>
      <c r="C372" s="20">
        <v>1</v>
      </c>
      <c r="D372" s="18">
        <v>39</v>
      </c>
      <c r="E372" s="20" t="s">
        <v>254</v>
      </c>
      <c r="F372" s="17" t="s">
        <v>562</v>
      </c>
      <c r="G372" s="19" t="s">
        <v>1140</v>
      </c>
      <c r="H372" s="18">
        <v>8.6066666666666674</v>
      </c>
      <c r="I372" s="17" t="s">
        <v>49</v>
      </c>
      <c r="J372" s="17" t="s">
        <v>48</v>
      </c>
      <c r="K372" s="17"/>
      <c r="L372" s="17"/>
      <c r="M372" s="16" t="str">
        <f>HYPERLINK("http://slimages.macys.com/is/image/MCY/19191577 ")</f>
        <v xml:space="preserve">http://slimages.macys.com/is/image/MCY/19191577 </v>
      </c>
      <c r="N372" s="30"/>
    </row>
    <row r="373" spans="1:14" ht="60" x14ac:dyDescent="0.25">
      <c r="A373" s="19" t="s">
        <v>3348</v>
      </c>
      <c r="B373" s="17" t="s">
        <v>3347</v>
      </c>
      <c r="C373" s="20">
        <v>1</v>
      </c>
      <c r="D373" s="18">
        <v>44.5</v>
      </c>
      <c r="E373" s="20" t="s">
        <v>3346</v>
      </c>
      <c r="F373" s="17" t="s">
        <v>81</v>
      </c>
      <c r="G373" s="19"/>
      <c r="H373" s="18">
        <v>8.379999999999999</v>
      </c>
      <c r="I373" s="17" t="s">
        <v>1891</v>
      </c>
      <c r="J373" s="17" t="s">
        <v>67</v>
      </c>
      <c r="K373" s="17"/>
      <c r="L373" s="17"/>
      <c r="M373" s="16" t="str">
        <f>HYPERLINK("http://slimages.macys.com/is/image/MCY/18981533 ")</f>
        <v xml:space="preserve">http://slimages.macys.com/is/image/MCY/18981533 </v>
      </c>
      <c r="N373" s="30"/>
    </row>
    <row r="374" spans="1:14" ht="60" x14ac:dyDescent="0.25">
      <c r="A374" s="19" t="s">
        <v>3345</v>
      </c>
      <c r="B374" s="17" t="s">
        <v>3344</v>
      </c>
      <c r="C374" s="20">
        <v>1</v>
      </c>
      <c r="D374" s="18">
        <v>44.5</v>
      </c>
      <c r="E374" s="20" t="s">
        <v>3339</v>
      </c>
      <c r="F374" s="17" t="s">
        <v>23</v>
      </c>
      <c r="G374" s="19" t="s">
        <v>271</v>
      </c>
      <c r="H374" s="18">
        <v>8.379999999999999</v>
      </c>
      <c r="I374" s="17" t="s">
        <v>1891</v>
      </c>
      <c r="J374" s="17" t="s">
        <v>67</v>
      </c>
      <c r="K374" s="17"/>
      <c r="L374" s="17"/>
      <c r="M374" s="16" t="str">
        <f>HYPERLINK("http://slimages.macys.com/is/image/MCY/16862113 ")</f>
        <v xml:space="preserve">http://slimages.macys.com/is/image/MCY/16862113 </v>
      </c>
      <c r="N374" s="30"/>
    </row>
    <row r="375" spans="1:14" ht="60" x14ac:dyDescent="0.25">
      <c r="A375" s="19" t="s">
        <v>3343</v>
      </c>
      <c r="B375" s="17" t="s">
        <v>3342</v>
      </c>
      <c r="C375" s="20">
        <v>1</v>
      </c>
      <c r="D375" s="18">
        <v>44.5</v>
      </c>
      <c r="E375" s="20" t="s">
        <v>3339</v>
      </c>
      <c r="F375" s="17" t="s">
        <v>23</v>
      </c>
      <c r="G375" s="19" t="s">
        <v>351</v>
      </c>
      <c r="H375" s="18">
        <v>8.379999999999999</v>
      </c>
      <c r="I375" s="17" t="s">
        <v>1891</v>
      </c>
      <c r="J375" s="17" t="s">
        <v>67</v>
      </c>
      <c r="K375" s="17"/>
      <c r="L375" s="17"/>
      <c r="M375" s="16" t="str">
        <f>HYPERLINK("http://slimages.macys.com/is/image/MCY/16862113 ")</f>
        <v xml:space="preserve">http://slimages.macys.com/is/image/MCY/16862113 </v>
      </c>
      <c r="N375" s="30"/>
    </row>
    <row r="376" spans="1:14" ht="60" x14ac:dyDescent="0.25">
      <c r="A376" s="19" t="s">
        <v>3341</v>
      </c>
      <c r="B376" s="17" t="s">
        <v>3340</v>
      </c>
      <c r="C376" s="20">
        <v>1</v>
      </c>
      <c r="D376" s="18">
        <v>44.5</v>
      </c>
      <c r="E376" s="20" t="s">
        <v>3339</v>
      </c>
      <c r="F376" s="17" t="s">
        <v>23</v>
      </c>
      <c r="G376" s="19"/>
      <c r="H376" s="18">
        <v>8.379999999999999</v>
      </c>
      <c r="I376" s="17" t="s">
        <v>1891</v>
      </c>
      <c r="J376" s="17" t="s">
        <v>67</v>
      </c>
      <c r="K376" s="17"/>
      <c r="L376" s="17"/>
      <c r="M376" s="16" t="str">
        <f>HYPERLINK("http://slimages.macys.com/is/image/MCY/16862113 ")</f>
        <v xml:space="preserve">http://slimages.macys.com/is/image/MCY/16862113 </v>
      </c>
      <c r="N376" s="30"/>
    </row>
    <row r="377" spans="1:14" ht="60" x14ac:dyDescent="0.25">
      <c r="A377" s="19" t="s">
        <v>3338</v>
      </c>
      <c r="B377" s="17" t="s">
        <v>3337</v>
      </c>
      <c r="C377" s="20">
        <v>1</v>
      </c>
      <c r="D377" s="18">
        <v>44.5</v>
      </c>
      <c r="E377" s="20" t="s">
        <v>3336</v>
      </c>
      <c r="F377" s="17" t="s">
        <v>23</v>
      </c>
      <c r="G377" s="19" t="s">
        <v>139</v>
      </c>
      <c r="H377" s="18">
        <v>8.379999999999999</v>
      </c>
      <c r="I377" s="17" t="s">
        <v>1891</v>
      </c>
      <c r="J377" s="17" t="s">
        <v>67</v>
      </c>
      <c r="K377" s="17"/>
      <c r="L377" s="17"/>
      <c r="M377" s="16" t="str">
        <f>HYPERLINK("http://slimages.macys.com/is/image/MCY/18344813 ")</f>
        <v xml:space="preserve">http://slimages.macys.com/is/image/MCY/18344813 </v>
      </c>
      <c r="N377" s="30"/>
    </row>
    <row r="378" spans="1:14" ht="60" x14ac:dyDescent="0.25">
      <c r="A378" s="19" t="s">
        <v>3335</v>
      </c>
      <c r="B378" s="17" t="s">
        <v>3334</v>
      </c>
      <c r="C378" s="20">
        <v>1</v>
      </c>
      <c r="D378" s="18">
        <v>48</v>
      </c>
      <c r="E378" s="20">
        <v>30083438</v>
      </c>
      <c r="F378" s="17" t="s">
        <v>28</v>
      </c>
      <c r="G378" s="19" t="s">
        <v>658</v>
      </c>
      <c r="H378" s="18">
        <v>8.32</v>
      </c>
      <c r="I378" s="17" t="s">
        <v>1777</v>
      </c>
      <c r="J378" s="17" t="s">
        <v>1776</v>
      </c>
      <c r="K378" s="17"/>
      <c r="L378" s="17"/>
      <c r="M378" s="16" t="str">
        <f>HYPERLINK("http://slimages.macys.com/is/image/MCY/19118154 ")</f>
        <v xml:space="preserve">http://slimages.macys.com/is/image/MCY/19118154 </v>
      </c>
      <c r="N378" s="30"/>
    </row>
    <row r="379" spans="1:14" ht="60" x14ac:dyDescent="0.25">
      <c r="A379" s="19" t="s">
        <v>2558</v>
      </c>
      <c r="B379" s="17" t="s">
        <v>2557</v>
      </c>
      <c r="C379" s="20">
        <v>1</v>
      </c>
      <c r="D379" s="18">
        <v>31.5</v>
      </c>
      <c r="E379" s="20" t="s">
        <v>2556</v>
      </c>
      <c r="F379" s="17" t="s">
        <v>23</v>
      </c>
      <c r="G379" s="19" t="s">
        <v>43</v>
      </c>
      <c r="H379" s="18">
        <v>8.2200000000000006</v>
      </c>
      <c r="I379" s="17" t="s">
        <v>42</v>
      </c>
      <c r="J379" s="17" t="s">
        <v>41</v>
      </c>
      <c r="K379" s="17"/>
      <c r="L379" s="17"/>
      <c r="M379" s="16" t="str">
        <f>HYPERLINK("http://slimages.macys.com/is/image/MCY/18757242 ")</f>
        <v xml:space="preserve">http://slimages.macys.com/is/image/MCY/18757242 </v>
      </c>
      <c r="N379" s="30"/>
    </row>
    <row r="380" spans="1:14" ht="60" x14ac:dyDescent="0.25">
      <c r="A380" s="19" t="s">
        <v>3333</v>
      </c>
      <c r="B380" s="17" t="s">
        <v>3332</v>
      </c>
      <c r="C380" s="20">
        <v>1</v>
      </c>
      <c r="D380" s="18">
        <v>49</v>
      </c>
      <c r="E380" s="20" t="s">
        <v>3331</v>
      </c>
      <c r="F380" s="17" t="s">
        <v>91</v>
      </c>
      <c r="G380" s="19" t="s">
        <v>17</v>
      </c>
      <c r="H380" s="18">
        <v>8.1666666666666679</v>
      </c>
      <c r="I380" s="17" t="s">
        <v>129</v>
      </c>
      <c r="J380" s="17" t="s">
        <v>128</v>
      </c>
      <c r="K380" s="17"/>
      <c r="L380" s="17"/>
      <c r="M380" s="16" t="str">
        <f>HYPERLINK("http://slimages.macys.com/is/image/MCY/19463018 ")</f>
        <v xml:space="preserve">http://slimages.macys.com/is/image/MCY/19463018 </v>
      </c>
      <c r="N380" s="30"/>
    </row>
    <row r="381" spans="1:14" ht="60" x14ac:dyDescent="0.25">
      <c r="A381" s="19" t="s">
        <v>3330</v>
      </c>
      <c r="B381" s="17" t="s">
        <v>3329</v>
      </c>
      <c r="C381" s="20">
        <v>1</v>
      </c>
      <c r="D381" s="18">
        <v>49</v>
      </c>
      <c r="E381" s="20">
        <v>7099636</v>
      </c>
      <c r="F381" s="17" t="s">
        <v>508</v>
      </c>
      <c r="G381" s="19" t="s">
        <v>50</v>
      </c>
      <c r="H381" s="18">
        <v>8.1666666666666679</v>
      </c>
      <c r="I381" s="17" t="s">
        <v>111</v>
      </c>
      <c r="J381" s="17" t="s">
        <v>110</v>
      </c>
      <c r="K381" s="17"/>
      <c r="L381" s="17"/>
      <c r="M381" s="16" t="str">
        <f>HYPERLINK("http://slimages.macys.com/is/image/MCY/17612445 ")</f>
        <v xml:space="preserve">http://slimages.macys.com/is/image/MCY/17612445 </v>
      </c>
      <c r="N381" s="30"/>
    </row>
    <row r="382" spans="1:14" ht="60" x14ac:dyDescent="0.25">
      <c r="A382" s="19" t="s">
        <v>240</v>
      </c>
      <c r="B382" s="17" t="s">
        <v>239</v>
      </c>
      <c r="C382" s="20">
        <v>1</v>
      </c>
      <c r="D382" s="18">
        <v>29.99</v>
      </c>
      <c r="E382" s="20" t="s">
        <v>238</v>
      </c>
      <c r="F382" s="17" t="s">
        <v>237</v>
      </c>
      <c r="G382" s="19" t="s">
        <v>69</v>
      </c>
      <c r="H382" s="18">
        <v>8</v>
      </c>
      <c r="I382" s="17" t="s">
        <v>68</v>
      </c>
      <c r="J382" s="17" t="s">
        <v>67</v>
      </c>
      <c r="K382" s="17"/>
      <c r="L382" s="17"/>
      <c r="M382" s="16" t="str">
        <f>HYPERLINK("http://slimages.macys.com/is/image/MCY/17899241 ")</f>
        <v xml:space="preserve">http://slimages.macys.com/is/image/MCY/17899241 </v>
      </c>
      <c r="N382" s="30"/>
    </row>
    <row r="383" spans="1:14" ht="60" x14ac:dyDescent="0.25">
      <c r="A383" s="19" t="s">
        <v>3328</v>
      </c>
      <c r="B383" s="17" t="s">
        <v>3327</v>
      </c>
      <c r="C383" s="20">
        <v>1</v>
      </c>
      <c r="D383" s="18">
        <v>39.5</v>
      </c>
      <c r="E383" s="20" t="s">
        <v>232</v>
      </c>
      <c r="F383" s="17" t="s">
        <v>23</v>
      </c>
      <c r="G383" s="19" t="s">
        <v>69</v>
      </c>
      <c r="H383" s="18">
        <v>7.96</v>
      </c>
      <c r="I383" s="17" t="s">
        <v>106</v>
      </c>
      <c r="J383" s="17" t="s">
        <v>105</v>
      </c>
      <c r="K383" s="17"/>
      <c r="L383" s="17"/>
      <c r="M383" s="16" t="str">
        <f>HYPERLINK("http://slimages.macys.com/is/image/MCY/18690296 ")</f>
        <v xml:space="preserve">http://slimages.macys.com/is/image/MCY/18690296 </v>
      </c>
      <c r="N383" s="30"/>
    </row>
    <row r="384" spans="1:14" ht="60" x14ac:dyDescent="0.25">
      <c r="A384" s="19" t="s">
        <v>3326</v>
      </c>
      <c r="B384" s="17" t="s">
        <v>3325</v>
      </c>
      <c r="C384" s="20">
        <v>1</v>
      </c>
      <c r="D384" s="18">
        <v>69</v>
      </c>
      <c r="E384" s="20">
        <v>2350220</v>
      </c>
      <c r="F384" s="17" t="s">
        <v>91</v>
      </c>
      <c r="G384" s="19" t="s">
        <v>313</v>
      </c>
      <c r="H384" s="18">
        <v>7.86</v>
      </c>
      <c r="I384" s="17" t="s">
        <v>80</v>
      </c>
      <c r="J384" s="17" t="s">
        <v>293</v>
      </c>
      <c r="K384" s="17"/>
      <c r="L384" s="17"/>
      <c r="M384" s="16" t="str">
        <f>HYPERLINK("http://slimages.macys.com/is/image/MCY/17838298 ")</f>
        <v xml:space="preserve">http://slimages.macys.com/is/image/MCY/17838298 </v>
      </c>
      <c r="N384" s="30"/>
    </row>
    <row r="385" spans="1:14" ht="60" x14ac:dyDescent="0.25">
      <c r="A385" s="19" t="s">
        <v>3324</v>
      </c>
      <c r="B385" s="17" t="s">
        <v>3323</v>
      </c>
      <c r="C385" s="20">
        <v>1</v>
      </c>
      <c r="D385" s="18">
        <v>34.299999999999997</v>
      </c>
      <c r="E385" s="20" t="s">
        <v>45</v>
      </c>
      <c r="F385" s="17" t="s">
        <v>339</v>
      </c>
      <c r="G385" s="19" t="s">
        <v>74</v>
      </c>
      <c r="H385" s="18">
        <v>7.8133333333333335</v>
      </c>
      <c r="I385" s="17" t="s">
        <v>42</v>
      </c>
      <c r="J385" s="17" t="s">
        <v>41</v>
      </c>
      <c r="K385" s="17"/>
      <c r="L385" s="17"/>
      <c r="M385" s="16" t="str">
        <f>HYPERLINK("http://slimages.macys.com/is/image/MCY/18947005 ")</f>
        <v xml:space="preserve">http://slimages.macys.com/is/image/MCY/18947005 </v>
      </c>
      <c r="N385" s="30"/>
    </row>
    <row r="386" spans="1:14" ht="60" x14ac:dyDescent="0.25">
      <c r="A386" s="19" t="s">
        <v>3322</v>
      </c>
      <c r="B386" s="17" t="s">
        <v>3321</v>
      </c>
      <c r="C386" s="20">
        <v>2</v>
      </c>
      <c r="D386" s="18">
        <v>44</v>
      </c>
      <c r="E386" s="20">
        <v>30123869</v>
      </c>
      <c r="F386" s="17" t="s">
        <v>58</v>
      </c>
      <c r="G386" s="19" t="s">
        <v>116</v>
      </c>
      <c r="H386" s="18">
        <v>7.626666666666666</v>
      </c>
      <c r="I386" s="17" t="s">
        <v>1777</v>
      </c>
      <c r="J386" s="17" t="s">
        <v>1776</v>
      </c>
      <c r="K386" s="17"/>
      <c r="L386" s="17"/>
      <c r="M386" s="16" t="str">
        <f>HYPERLINK("http://slimages.macys.com/is/image/MCY/18375951 ")</f>
        <v xml:space="preserve">http://slimages.macys.com/is/image/MCY/18375951 </v>
      </c>
      <c r="N386" s="30"/>
    </row>
    <row r="387" spans="1:14" ht="60" x14ac:dyDescent="0.25">
      <c r="A387" s="19" t="s">
        <v>1762</v>
      </c>
      <c r="B387" s="17" t="s">
        <v>1761</v>
      </c>
      <c r="C387" s="20">
        <v>1</v>
      </c>
      <c r="D387" s="18">
        <v>30</v>
      </c>
      <c r="E387" s="20" t="s">
        <v>226</v>
      </c>
      <c r="F387" s="17" t="s">
        <v>51</v>
      </c>
      <c r="G387" s="19" t="s">
        <v>27</v>
      </c>
      <c r="H387" s="18">
        <v>7.5533333333333337</v>
      </c>
      <c r="I387" s="17" t="s">
        <v>16</v>
      </c>
      <c r="J387" s="17" t="s">
        <v>15</v>
      </c>
      <c r="K387" s="17"/>
      <c r="L387" s="17"/>
      <c r="M387" s="16" t="str">
        <f>HYPERLINK("http://slimages.macys.com/is/image/MCY/19060580 ")</f>
        <v xml:space="preserve">http://slimages.macys.com/is/image/MCY/19060580 </v>
      </c>
      <c r="N387" s="30"/>
    </row>
    <row r="388" spans="1:14" ht="60" x14ac:dyDescent="0.25">
      <c r="A388" s="19" t="s">
        <v>3320</v>
      </c>
      <c r="B388" s="17" t="s">
        <v>3319</v>
      </c>
      <c r="C388" s="20">
        <v>1</v>
      </c>
      <c r="D388" s="18">
        <v>49</v>
      </c>
      <c r="E388" s="20" t="s">
        <v>3318</v>
      </c>
      <c r="F388" s="17" t="s">
        <v>23</v>
      </c>
      <c r="G388" s="19" t="s">
        <v>197</v>
      </c>
      <c r="H388" s="18">
        <v>7.5133333333333336</v>
      </c>
      <c r="I388" s="17" t="s">
        <v>405</v>
      </c>
      <c r="J388" s="17" t="s">
        <v>404</v>
      </c>
      <c r="K388" s="17"/>
      <c r="L388" s="17"/>
      <c r="M388" s="16" t="str">
        <f>HYPERLINK("http://slimages.macys.com/is/image/MCY/17967732 ")</f>
        <v xml:space="preserve">http://slimages.macys.com/is/image/MCY/17967732 </v>
      </c>
      <c r="N388" s="30"/>
    </row>
    <row r="389" spans="1:14" ht="60" x14ac:dyDescent="0.25">
      <c r="A389" s="19" t="s">
        <v>3317</v>
      </c>
      <c r="B389" s="17" t="s">
        <v>3316</v>
      </c>
      <c r="C389" s="20">
        <v>1</v>
      </c>
      <c r="D389" s="18">
        <v>49</v>
      </c>
      <c r="E389" s="20">
        <v>2331301</v>
      </c>
      <c r="F389" s="17" t="s">
        <v>2284</v>
      </c>
      <c r="G389" s="19" t="s">
        <v>22</v>
      </c>
      <c r="H389" s="18">
        <v>7.5</v>
      </c>
      <c r="I389" s="17" t="s">
        <v>80</v>
      </c>
      <c r="J389" s="17" t="s">
        <v>293</v>
      </c>
      <c r="K389" s="17"/>
      <c r="L389" s="17"/>
      <c r="M389" s="16" t="str">
        <f>HYPERLINK("http://slimages.macys.com/is/image/MCY/19226269 ")</f>
        <v xml:space="preserve">http://slimages.macys.com/is/image/MCY/19226269 </v>
      </c>
      <c r="N389" s="30"/>
    </row>
    <row r="390" spans="1:14" ht="60" x14ac:dyDescent="0.25">
      <c r="A390" s="19" t="s">
        <v>3315</v>
      </c>
      <c r="B390" s="17" t="s">
        <v>3314</v>
      </c>
      <c r="C390" s="20">
        <v>1</v>
      </c>
      <c r="D390" s="18">
        <v>49</v>
      </c>
      <c r="E390" s="20">
        <v>2331301</v>
      </c>
      <c r="F390" s="17" t="s">
        <v>28</v>
      </c>
      <c r="G390" s="19" t="s">
        <v>62</v>
      </c>
      <c r="H390" s="18">
        <v>7.5</v>
      </c>
      <c r="I390" s="17" t="s">
        <v>80</v>
      </c>
      <c r="J390" s="17" t="s">
        <v>293</v>
      </c>
      <c r="K390" s="17"/>
      <c r="L390" s="17"/>
      <c r="M390" s="16" t="str">
        <f>HYPERLINK("http://slimages.macys.com/is/image/MCY/19223516 ")</f>
        <v xml:space="preserve">http://slimages.macys.com/is/image/MCY/19223516 </v>
      </c>
      <c r="N390" s="30"/>
    </row>
    <row r="391" spans="1:14" ht="60" x14ac:dyDescent="0.25">
      <c r="A391" s="19" t="s">
        <v>3313</v>
      </c>
      <c r="B391" s="17" t="s">
        <v>3312</v>
      </c>
      <c r="C391" s="20">
        <v>1</v>
      </c>
      <c r="D391" s="18">
        <v>49</v>
      </c>
      <c r="E391" s="20">
        <v>2331301</v>
      </c>
      <c r="F391" s="17" t="s">
        <v>28</v>
      </c>
      <c r="G391" s="19" t="s">
        <v>17</v>
      </c>
      <c r="H391" s="18">
        <v>7.5</v>
      </c>
      <c r="I391" s="17" t="s">
        <v>80</v>
      </c>
      <c r="J391" s="17" t="s">
        <v>293</v>
      </c>
      <c r="K391" s="17"/>
      <c r="L391" s="17"/>
      <c r="M391" s="16" t="str">
        <f>HYPERLINK("http://slimages.macys.com/is/image/MCY/19223403 ")</f>
        <v xml:space="preserve">http://slimages.macys.com/is/image/MCY/19223403 </v>
      </c>
      <c r="N391" s="30"/>
    </row>
    <row r="392" spans="1:14" ht="60" x14ac:dyDescent="0.25">
      <c r="A392" s="19" t="s">
        <v>992</v>
      </c>
      <c r="B392" s="17" t="s">
        <v>991</v>
      </c>
      <c r="C392" s="20">
        <v>1</v>
      </c>
      <c r="D392" s="18">
        <v>39.5</v>
      </c>
      <c r="E392" s="20" t="s">
        <v>213</v>
      </c>
      <c r="F392" s="17" t="s">
        <v>63</v>
      </c>
      <c r="G392" s="19" t="s">
        <v>62</v>
      </c>
      <c r="H392" s="18">
        <v>7.4400000000000013</v>
      </c>
      <c r="I392" s="17" t="s">
        <v>56</v>
      </c>
      <c r="J392" s="17" t="s">
        <v>55</v>
      </c>
      <c r="K392" s="17"/>
      <c r="L392" s="17"/>
      <c r="M392" s="16" t="str">
        <f>HYPERLINK("http://slimages.macys.com/is/image/MCY/19179536 ")</f>
        <v xml:space="preserve">http://slimages.macys.com/is/image/MCY/19179536 </v>
      </c>
      <c r="N392" s="30"/>
    </row>
    <row r="393" spans="1:14" ht="60" x14ac:dyDescent="0.25">
      <c r="A393" s="19" t="s">
        <v>1016</v>
      </c>
      <c r="B393" s="17" t="s">
        <v>1015</v>
      </c>
      <c r="C393" s="20">
        <v>1</v>
      </c>
      <c r="D393" s="18">
        <v>39.5</v>
      </c>
      <c r="E393" s="20" t="s">
        <v>1000</v>
      </c>
      <c r="F393" s="17" t="s">
        <v>91</v>
      </c>
      <c r="G393" s="19" t="s">
        <v>74</v>
      </c>
      <c r="H393" s="18">
        <v>7.4400000000000013</v>
      </c>
      <c r="I393" s="17" t="s">
        <v>56</v>
      </c>
      <c r="J393" s="17" t="s">
        <v>55</v>
      </c>
      <c r="K393" s="17"/>
      <c r="L393" s="17"/>
      <c r="M393" s="16" t="str">
        <f>HYPERLINK("http://slimages.macys.com/is/image/MCY/19394976 ")</f>
        <v xml:space="preserve">http://slimages.macys.com/is/image/MCY/19394976 </v>
      </c>
      <c r="N393" s="30"/>
    </row>
    <row r="394" spans="1:14" ht="60" x14ac:dyDescent="0.25">
      <c r="A394" s="19" t="s">
        <v>215</v>
      </c>
      <c r="B394" s="17" t="s">
        <v>214</v>
      </c>
      <c r="C394" s="20">
        <v>10</v>
      </c>
      <c r="D394" s="18">
        <v>39.5</v>
      </c>
      <c r="E394" s="20" t="s">
        <v>213</v>
      </c>
      <c r="F394" s="17" t="s">
        <v>63</v>
      </c>
      <c r="G394" s="19" t="s">
        <v>69</v>
      </c>
      <c r="H394" s="18">
        <v>7.4400000000000013</v>
      </c>
      <c r="I394" s="17" t="s">
        <v>56</v>
      </c>
      <c r="J394" s="17" t="s">
        <v>55</v>
      </c>
      <c r="K394" s="17"/>
      <c r="L394" s="17"/>
      <c r="M394" s="16" t="str">
        <f>HYPERLINK("http://slimages.macys.com/is/image/MCY/19179536 ")</f>
        <v xml:space="preserve">http://slimages.macys.com/is/image/MCY/19179536 </v>
      </c>
      <c r="N394" s="30"/>
    </row>
    <row r="395" spans="1:14" ht="60" x14ac:dyDescent="0.25">
      <c r="A395" s="19" t="s">
        <v>3311</v>
      </c>
      <c r="B395" s="17" t="s">
        <v>3310</v>
      </c>
      <c r="C395" s="20">
        <v>1</v>
      </c>
      <c r="D395" s="18">
        <v>39.5</v>
      </c>
      <c r="E395" s="20" t="s">
        <v>3300</v>
      </c>
      <c r="F395" s="17" t="s">
        <v>51</v>
      </c>
      <c r="G395" s="19" t="s">
        <v>69</v>
      </c>
      <c r="H395" s="18">
        <v>7.4400000000000013</v>
      </c>
      <c r="I395" s="17" t="s">
        <v>56</v>
      </c>
      <c r="J395" s="17" t="s">
        <v>55</v>
      </c>
      <c r="K395" s="17"/>
      <c r="L395" s="17"/>
      <c r="M395" s="16" t="str">
        <f>HYPERLINK("http://slimages.macys.com/is/image/MCY/19183292 ")</f>
        <v xml:space="preserve">http://slimages.macys.com/is/image/MCY/19183292 </v>
      </c>
      <c r="N395" s="30"/>
    </row>
    <row r="396" spans="1:14" ht="60" x14ac:dyDescent="0.25">
      <c r="A396" s="19" t="s">
        <v>990</v>
      </c>
      <c r="B396" s="17" t="s">
        <v>989</v>
      </c>
      <c r="C396" s="20">
        <v>1</v>
      </c>
      <c r="D396" s="18">
        <v>39.5</v>
      </c>
      <c r="E396" s="20" t="s">
        <v>213</v>
      </c>
      <c r="F396" s="17" t="s">
        <v>63</v>
      </c>
      <c r="G396" s="19" t="s">
        <v>57</v>
      </c>
      <c r="H396" s="18">
        <v>7.4400000000000013</v>
      </c>
      <c r="I396" s="17" t="s">
        <v>56</v>
      </c>
      <c r="J396" s="17" t="s">
        <v>55</v>
      </c>
      <c r="K396" s="17"/>
      <c r="L396" s="17"/>
      <c r="M396" s="16" t="str">
        <f>HYPERLINK("http://slimages.macys.com/is/image/MCY/19179536 ")</f>
        <v xml:space="preserve">http://slimages.macys.com/is/image/MCY/19179536 </v>
      </c>
      <c r="N396" s="30"/>
    </row>
    <row r="397" spans="1:14" ht="60" x14ac:dyDescent="0.25">
      <c r="A397" s="19" t="s">
        <v>2538</v>
      </c>
      <c r="B397" s="17" t="s">
        <v>2537</v>
      </c>
      <c r="C397" s="20">
        <v>1</v>
      </c>
      <c r="D397" s="18">
        <v>39.5</v>
      </c>
      <c r="E397" s="20" t="s">
        <v>1000</v>
      </c>
      <c r="F397" s="17" t="s">
        <v>91</v>
      </c>
      <c r="G397" s="19" t="s">
        <v>62</v>
      </c>
      <c r="H397" s="18">
        <v>7.4400000000000013</v>
      </c>
      <c r="I397" s="17" t="s">
        <v>56</v>
      </c>
      <c r="J397" s="17" t="s">
        <v>55</v>
      </c>
      <c r="K397" s="17"/>
      <c r="L397" s="17"/>
      <c r="M397" s="16" t="str">
        <f>HYPERLINK("http://slimages.macys.com/is/image/MCY/19394976 ")</f>
        <v xml:space="preserve">http://slimages.macys.com/is/image/MCY/19394976 </v>
      </c>
      <c r="N397" s="30"/>
    </row>
    <row r="398" spans="1:14" ht="60" x14ac:dyDescent="0.25">
      <c r="A398" s="19" t="s">
        <v>2544</v>
      </c>
      <c r="B398" s="17" t="s">
        <v>2543</v>
      </c>
      <c r="C398" s="20">
        <v>2</v>
      </c>
      <c r="D398" s="18">
        <v>39.5</v>
      </c>
      <c r="E398" s="20" t="s">
        <v>2542</v>
      </c>
      <c r="F398" s="17" t="s">
        <v>58</v>
      </c>
      <c r="G398" s="19" t="s">
        <v>197</v>
      </c>
      <c r="H398" s="18">
        <v>7.4400000000000013</v>
      </c>
      <c r="I398" s="17" t="s">
        <v>56</v>
      </c>
      <c r="J398" s="17" t="s">
        <v>55</v>
      </c>
      <c r="K398" s="17"/>
      <c r="L398" s="17"/>
      <c r="M398" s="16" t="str">
        <f>HYPERLINK("http://slimages.macys.com/is/image/MCY/16688361 ")</f>
        <v xml:space="preserve">http://slimages.macys.com/is/image/MCY/16688361 </v>
      </c>
      <c r="N398" s="30"/>
    </row>
    <row r="399" spans="1:14" ht="60" x14ac:dyDescent="0.25">
      <c r="A399" s="19" t="s">
        <v>1004</v>
      </c>
      <c r="B399" s="17" t="s">
        <v>1003</v>
      </c>
      <c r="C399" s="20">
        <v>1</v>
      </c>
      <c r="D399" s="18">
        <v>39.5</v>
      </c>
      <c r="E399" s="20" t="s">
        <v>213</v>
      </c>
      <c r="F399" s="17" t="s">
        <v>63</v>
      </c>
      <c r="G399" s="19" t="s">
        <v>197</v>
      </c>
      <c r="H399" s="18">
        <v>7.4400000000000013</v>
      </c>
      <c r="I399" s="17" t="s">
        <v>56</v>
      </c>
      <c r="J399" s="17" t="s">
        <v>55</v>
      </c>
      <c r="K399" s="17"/>
      <c r="L399" s="17"/>
      <c r="M399" s="16" t="str">
        <f>HYPERLINK("http://slimages.macys.com/is/image/MCY/19179536 ")</f>
        <v xml:space="preserve">http://slimages.macys.com/is/image/MCY/19179536 </v>
      </c>
      <c r="N399" s="30"/>
    </row>
    <row r="400" spans="1:14" ht="60" x14ac:dyDescent="0.25">
      <c r="A400" s="19" t="s">
        <v>3309</v>
      </c>
      <c r="B400" s="17" t="s">
        <v>3308</v>
      </c>
      <c r="C400" s="20">
        <v>1</v>
      </c>
      <c r="D400" s="18">
        <v>39.5</v>
      </c>
      <c r="E400" s="20" t="s">
        <v>2545</v>
      </c>
      <c r="F400" s="17" t="s">
        <v>206</v>
      </c>
      <c r="G400" s="19" t="s">
        <v>69</v>
      </c>
      <c r="H400" s="18">
        <v>7.4400000000000013</v>
      </c>
      <c r="I400" s="17" t="s">
        <v>56</v>
      </c>
      <c r="J400" s="17" t="s">
        <v>55</v>
      </c>
      <c r="K400" s="17"/>
      <c r="L400" s="17"/>
      <c r="M400" s="16" t="str">
        <f>HYPERLINK("http://slimages.macys.com/is/image/MCY/19395911 ")</f>
        <v xml:space="preserve">http://slimages.macys.com/is/image/MCY/19395911 </v>
      </c>
      <c r="N400" s="30"/>
    </row>
    <row r="401" spans="1:14" ht="60" x14ac:dyDescent="0.25">
      <c r="A401" s="19" t="s">
        <v>3307</v>
      </c>
      <c r="B401" s="17" t="s">
        <v>3306</v>
      </c>
      <c r="C401" s="20">
        <v>1</v>
      </c>
      <c r="D401" s="18">
        <v>39.5</v>
      </c>
      <c r="E401" s="20" t="s">
        <v>2545</v>
      </c>
      <c r="F401" s="17" t="s">
        <v>206</v>
      </c>
      <c r="G401" s="19" t="s">
        <v>57</v>
      </c>
      <c r="H401" s="18">
        <v>7.4400000000000013</v>
      </c>
      <c r="I401" s="17" t="s">
        <v>56</v>
      </c>
      <c r="J401" s="17" t="s">
        <v>55</v>
      </c>
      <c r="K401" s="17"/>
      <c r="L401" s="17"/>
      <c r="M401" s="16" t="str">
        <f>HYPERLINK("http://slimages.macys.com/is/image/MCY/19395911 ")</f>
        <v xml:space="preserve">http://slimages.macys.com/is/image/MCY/19395911 </v>
      </c>
      <c r="N401" s="30"/>
    </row>
    <row r="402" spans="1:14" ht="60" x14ac:dyDescent="0.25">
      <c r="A402" s="19" t="s">
        <v>2536</v>
      </c>
      <c r="B402" s="17" t="s">
        <v>2535</v>
      </c>
      <c r="C402" s="20">
        <v>1</v>
      </c>
      <c r="D402" s="18">
        <v>39.5</v>
      </c>
      <c r="E402" s="20" t="s">
        <v>1000</v>
      </c>
      <c r="F402" s="17" t="s">
        <v>91</v>
      </c>
      <c r="G402" s="19" t="s">
        <v>69</v>
      </c>
      <c r="H402" s="18">
        <v>7.4400000000000013</v>
      </c>
      <c r="I402" s="17" t="s">
        <v>56</v>
      </c>
      <c r="J402" s="17" t="s">
        <v>55</v>
      </c>
      <c r="K402" s="17"/>
      <c r="L402" s="17"/>
      <c r="M402" s="16" t="str">
        <f>HYPERLINK("http://slimages.macys.com/is/image/MCY/19394976 ")</f>
        <v xml:space="preserve">http://slimages.macys.com/is/image/MCY/19394976 </v>
      </c>
      <c r="N402" s="30"/>
    </row>
    <row r="403" spans="1:14" ht="60" x14ac:dyDescent="0.25">
      <c r="A403" s="19" t="s">
        <v>3305</v>
      </c>
      <c r="B403" s="17" t="s">
        <v>3304</v>
      </c>
      <c r="C403" s="20">
        <v>1</v>
      </c>
      <c r="D403" s="18">
        <v>39.5</v>
      </c>
      <c r="E403" s="20" t="s">
        <v>3303</v>
      </c>
      <c r="F403" s="17" t="s">
        <v>58</v>
      </c>
      <c r="G403" s="19" t="s">
        <v>57</v>
      </c>
      <c r="H403" s="18">
        <v>7.4400000000000013</v>
      </c>
      <c r="I403" s="17" t="s">
        <v>68</v>
      </c>
      <c r="J403" s="17" t="s">
        <v>67</v>
      </c>
      <c r="K403" s="17" t="s">
        <v>389</v>
      </c>
      <c r="L403" s="17" t="s">
        <v>1724</v>
      </c>
      <c r="M403" s="16" t="str">
        <f>HYPERLINK("http://slimages.macys.com/is/image/MCY/12954305 ")</f>
        <v xml:space="preserve">http://slimages.macys.com/is/image/MCY/12954305 </v>
      </c>
      <c r="N403" s="30"/>
    </row>
    <row r="404" spans="1:14" ht="60" x14ac:dyDescent="0.25">
      <c r="A404" s="19" t="s">
        <v>1721</v>
      </c>
      <c r="B404" s="17" t="s">
        <v>1720</v>
      </c>
      <c r="C404" s="20">
        <v>3</v>
      </c>
      <c r="D404" s="18">
        <v>39.5</v>
      </c>
      <c r="E404" s="20" t="s">
        <v>213</v>
      </c>
      <c r="F404" s="17" t="s">
        <v>63</v>
      </c>
      <c r="G404" s="19" t="s">
        <v>74</v>
      </c>
      <c r="H404" s="18">
        <v>7.4400000000000013</v>
      </c>
      <c r="I404" s="17" t="s">
        <v>56</v>
      </c>
      <c r="J404" s="17" t="s">
        <v>55</v>
      </c>
      <c r="K404" s="17"/>
      <c r="L404" s="17"/>
      <c r="M404" s="16" t="str">
        <f>HYPERLINK("http://slimages.macys.com/is/image/MCY/19179536 ")</f>
        <v xml:space="preserve">http://slimages.macys.com/is/image/MCY/19179536 </v>
      </c>
      <c r="N404" s="30"/>
    </row>
    <row r="405" spans="1:14" ht="60" x14ac:dyDescent="0.25">
      <c r="A405" s="19" t="s">
        <v>3302</v>
      </c>
      <c r="B405" s="17" t="s">
        <v>3301</v>
      </c>
      <c r="C405" s="20">
        <v>2</v>
      </c>
      <c r="D405" s="18">
        <v>39.5</v>
      </c>
      <c r="E405" s="20" t="s">
        <v>3300</v>
      </c>
      <c r="F405" s="17" t="s">
        <v>51</v>
      </c>
      <c r="G405" s="19" t="s">
        <v>74</v>
      </c>
      <c r="H405" s="18">
        <v>7.4400000000000013</v>
      </c>
      <c r="I405" s="17" t="s">
        <v>56</v>
      </c>
      <c r="J405" s="17" t="s">
        <v>55</v>
      </c>
      <c r="K405" s="17"/>
      <c r="L405" s="17"/>
      <c r="M405" s="16" t="str">
        <f>HYPERLINK("http://slimages.macys.com/is/image/MCY/19183292 ")</f>
        <v xml:space="preserve">http://slimages.macys.com/is/image/MCY/19183292 </v>
      </c>
      <c r="N405" s="30"/>
    </row>
    <row r="406" spans="1:14" ht="60" x14ac:dyDescent="0.25">
      <c r="A406" s="19" t="s">
        <v>999</v>
      </c>
      <c r="B406" s="17" t="s">
        <v>998</v>
      </c>
      <c r="C406" s="20">
        <v>1</v>
      </c>
      <c r="D406" s="18">
        <v>39.5</v>
      </c>
      <c r="E406" s="20" t="s">
        <v>213</v>
      </c>
      <c r="F406" s="17" t="s">
        <v>23</v>
      </c>
      <c r="G406" s="19" t="s">
        <v>69</v>
      </c>
      <c r="H406" s="18">
        <v>7.4400000000000013</v>
      </c>
      <c r="I406" s="17" t="s">
        <v>56</v>
      </c>
      <c r="J406" s="17" t="s">
        <v>55</v>
      </c>
      <c r="K406" s="17"/>
      <c r="L406" s="17"/>
      <c r="M406" s="16" t="str">
        <f>HYPERLINK("http://slimages.macys.com/is/image/MCY/19179536 ")</f>
        <v xml:space="preserve">http://slimages.macys.com/is/image/MCY/19179536 </v>
      </c>
      <c r="N406" s="30"/>
    </row>
    <row r="407" spans="1:14" ht="60" x14ac:dyDescent="0.25">
      <c r="A407" s="19" t="s">
        <v>1002</v>
      </c>
      <c r="B407" s="17" t="s">
        <v>1001</v>
      </c>
      <c r="C407" s="20">
        <v>3</v>
      </c>
      <c r="D407" s="18">
        <v>39.5</v>
      </c>
      <c r="E407" s="20" t="s">
        <v>1000</v>
      </c>
      <c r="F407" s="17" t="s">
        <v>91</v>
      </c>
      <c r="G407" s="19" t="s">
        <v>197</v>
      </c>
      <c r="H407" s="18">
        <v>7.4400000000000013</v>
      </c>
      <c r="I407" s="17" t="s">
        <v>56</v>
      </c>
      <c r="J407" s="17" t="s">
        <v>55</v>
      </c>
      <c r="K407" s="17"/>
      <c r="L407" s="17"/>
      <c r="M407" s="16" t="str">
        <f>HYPERLINK("http://slimages.macys.com/is/image/MCY/19394976 ")</f>
        <v xml:space="preserve">http://slimages.macys.com/is/image/MCY/19394976 </v>
      </c>
      <c r="N407" s="30"/>
    </row>
    <row r="408" spans="1:14" ht="60" x14ac:dyDescent="0.25">
      <c r="A408" s="19" t="s">
        <v>3299</v>
      </c>
      <c r="B408" s="17" t="s">
        <v>3298</v>
      </c>
      <c r="C408" s="20">
        <v>1</v>
      </c>
      <c r="D408" s="18">
        <v>49</v>
      </c>
      <c r="E408" s="20">
        <v>2331616</v>
      </c>
      <c r="F408" s="17" t="s">
        <v>91</v>
      </c>
      <c r="G408" s="19" t="s">
        <v>22</v>
      </c>
      <c r="H408" s="18">
        <v>7.4000000000000012</v>
      </c>
      <c r="I408" s="17" t="s">
        <v>80</v>
      </c>
      <c r="J408" s="17" t="s">
        <v>293</v>
      </c>
      <c r="K408" s="17"/>
      <c r="L408" s="17"/>
      <c r="M408" s="16" t="str">
        <f>HYPERLINK("http://slimages.macys.com/is/image/MCY/19753740 ")</f>
        <v xml:space="preserve">http://slimages.macys.com/is/image/MCY/19753740 </v>
      </c>
      <c r="N408" s="30"/>
    </row>
    <row r="409" spans="1:14" ht="60" x14ac:dyDescent="0.25">
      <c r="A409" s="19" t="s">
        <v>3297</v>
      </c>
      <c r="B409" s="17" t="s">
        <v>3296</v>
      </c>
      <c r="C409" s="20">
        <v>1</v>
      </c>
      <c r="D409" s="18">
        <v>49</v>
      </c>
      <c r="E409" s="20">
        <v>2331616</v>
      </c>
      <c r="F409" s="17" t="s">
        <v>2284</v>
      </c>
      <c r="G409" s="19" t="s">
        <v>22</v>
      </c>
      <c r="H409" s="18">
        <v>7.4000000000000012</v>
      </c>
      <c r="I409" s="17" t="s">
        <v>80</v>
      </c>
      <c r="J409" s="17" t="s">
        <v>293</v>
      </c>
      <c r="K409" s="17"/>
      <c r="L409" s="17"/>
      <c r="M409" s="16" t="str">
        <f>HYPERLINK("http://slimages.macys.com/is/image/MCY/19455301 ")</f>
        <v xml:space="preserve">http://slimages.macys.com/is/image/MCY/19455301 </v>
      </c>
      <c r="N409" s="30"/>
    </row>
    <row r="410" spans="1:14" ht="60" x14ac:dyDescent="0.25">
      <c r="A410" s="19" t="s">
        <v>3295</v>
      </c>
      <c r="B410" s="17" t="s">
        <v>3294</v>
      </c>
      <c r="C410" s="20">
        <v>1</v>
      </c>
      <c r="D410" s="18">
        <v>42</v>
      </c>
      <c r="E410" s="20" t="s">
        <v>3293</v>
      </c>
      <c r="F410" s="17" t="s">
        <v>51</v>
      </c>
      <c r="G410" s="19" t="s">
        <v>57</v>
      </c>
      <c r="H410" s="18">
        <v>7.3666666666666671</v>
      </c>
      <c r="I410" s="17" t="s">
        <v>80</v>
      </c>
      <c r="J410" s="17" t="s">
        <v>79</v>
      </c>
      <c r="K410" s="17"/>
      <c r="L410" s="17"/>
      <c r="M410" s="16" t="str">
        <f>HYPERLINK("http://slimages.macys.com/is/image/MCY/18593668 ")</f>
        <v xml:space="preserve">http://slimages.macys.com/is/image/MCY/18593668 </v>
      </c>
      <c r="N410" s="30"/>
    </row>
    <row r="411" spans="1:14" ht="60" x14ac:dyDescent="0.25">
      <c r="A411" s="19" t="s">
        <v>201</v>
      </c>
      <c r="B411" s="17" t="s">
        <v>200</v>
      </c>
      <c r="C411" s="20">
        <v>1</v>
      </c>
      <c r="D411" s="18">
        <v>27.3</v>
      </c>
      <c r="E411" s="20" t="s">
        <v>199</v>
      </c>
      <c r="F411" s="17" t="s">
        <v>198</v>
      </c>
      <c r="G411" s="19" t="s">
        <v>197</v>
      </c>
      <c r="H411" s="18">
        <v>7.120000000000001</v>
      </c>
      <c r="I411" s="17" t="s">
        <v>42</v>
      </c>
      <c r="J411" s="17" t="s">
        <v>41</v>
      </c>
      <c r="K411" s="17"/>
      <c r="L411" s="17"/>
      <c r="M411" s="16" t="str">
        <f>HYPERLINK("http://slimages.macys.com/is/image/MCY/19112196 ")</f>
        <v xml:space="preserve">http://slimages.macys.com/is/image/MCY/19112196 </v>
      </c>
      <c r="N411" s="30"/>
    </row>
    <row r="412" spans="1:14" ht="60" x14ac:dyDescent="0.25">
      <c r="A412" s="19" t="s">
        <v>3292</v>
      </c>
      <c r="B412" s="17" t="s">
        <v>3291</v>
      </c>
      <c r="C412" s="20">
        <v>1</v>
      </c>
      <c r="D412" s="18">
        <v>27.3</v>
      </c>
      <c r="E412" s="20" t="s">
        <v>3290</v>
      </c>
      <c r="F412" s="17" t="s">
        <v>28</v>
      </c>
      <c r="G412" s="19" t="s">
        <v>74</v>
      </c>
      <c r="H412" s="18">
        <v>7.120000000000001</v>
      </c>
      <c r="I412" s="17" t="s">
        <v>42</v>
      </c>
      <c r="J412" s="17" t="s">
        <v>41</v>
      </c>
      <c r="K412" s="17"/>
      <c r="L412" s="17"/>
      <c r="M412" s="16" t="str">
        <f>HYPERLINK("http://slimages.macys.com/is/image/MCY/18757237 ")</f>
        <v xml:space="preserve">http://slimages.macys.com/is/image/MCY/18757237 </v>
      </c>
      <c r="N412" s="30"/>
    </row>
    <row r="413" spans="1:14" ht="60" x14ac:dyDescent="0.25">
      <c r="A413" s="19" t="s">
        <v>3289</v>
      </c>
      <c r="B413" s="17" t="s">
        <v>3288</v>
      </c>
      <c r="C413" s="20">
        <v>2</v>
      </c>
      <c r="D413" s="18">
        <v>30</v>
      </c>
      <c r="E413" s="20" t="s">
        <v>3287</v>
      </c>
      <c r="F413" s="17" t="s">
        <v>23</v>
      </c>
      <c r="G413" s="19" t="s">
        <v>62</v>
      </c>
      <c r="H413" s="18">
        <v>6.9933333333333332</v>
      </c>
      <c r="I413" s="17" t="s">
        <v>16</v>
      </c>
      <c r="J413" s="17" t="s">
        <v>15</v>
      </c>
      <c r="K413" s="17"/>
      <c r="L413" s="17"/>
      <c r="M413" s="16" t="str">
        <f>HYPERLINK("http://slimages.macys.com/is/image/MCY/18946163 ")</f>
        <v xml:space="preserve">http://slimages.macys.com/is/image/MCY/18946163 </v>
      </c>
      <c r="N413" s="30"/>
    </row>
    <row r="414" spans="1:14" ht="60" x14ac:dyDescent="0.25">
      <c r="A414" s="19" t="s">
        <v>3286</v>
      </c>
      <c r="B414" s="17" t="s">
        <v>3285</v>
      </c>
      <c r="C414" s="20">
        <v>1</v>
      </c>
      <c r="D414" s="18">
        <v>28</v>
      </c>
      <c r="E414" s="20" t="s">
        <v>3282</v>
      </c>
      <c r="F414" s="17" t="s">
        <v>23</v>
      </c>
      <c r="G414" s="19" t="s">
        <v>62</v>
      </c>
      <c r="H414" s="18">
        <v>6.5333333333333332</v>
      </c>
      <c r="I414" s="17" t="s">
        <v>80</v>
      </c>
      <c r="J414" s="17" t="s">
        <v>79</v>
      </c>
      <c r="K414" s="17"/>
      <c r="L414" s="17"/>
      <c r="M414" s="16" t="str">
        <f>HYPERLINK("http://slimages.macys.com/is/image/MCY/18593745 ")</f>
        <v xml:space="preserve">http://slimages.macys.com/is/image/MCY/18593745 </v>
      </c>
      <c r="N414" s="30"/>
    </row>
    <row r="415" spans="1:14" ht="60" x14ac:dyDescent="0.25">
      <c r="A415" s="19" t="s">
        <v>3284</v>
      </c>
      <c r="B415" s="17" t="s">
        <v>3283</v>
      </c>
      <c r="C415" s="20">
        <v>9</v>
      </c>
      <c r="D415" s="18">
        <v>28</v>
      </c>
      <c r="E415" s="20" t="s">
        <v>3282</v>
      </c>
      <c r="F415" s="17" t="s">
        <v>23</v>
      </c>
      <c r="G415" s="19" t="s">
        <v>197</v>
      </c>
      <c r="H415" s="18">
        <v>6.5333333333333332</v>
      </c>
      <c r="I415" s="17" t="s">
        <v>80</v>
      </c>
      <c r="J415" s="17" t="s">
        <v>79</v>
      </c>
      <c r="K415" s="17"/>
      <c r="L415" s="17"/>
      <c r="M415" s="16" t="str">
        <f>HYPERLINK("http://slimages.macys.com/is/image/MCY/18593745 ")</f>
        <v xml:space="preserve">http://slimages.macys.com/is/image/MCY/18593745 </v>
      </c>
      <c r="N415" s="30"/>
    </row>
    <row r="416" spans="1:14" ht="60" x14ac:dyDescent="0.25">
      <c r="A416" s="19" t="s">
        <v>3281</v>
      </c>
      <c r="B416" s="17" t="s">
        <v>3280</v>
      </c>
      <c r="C416" s="20">
        <v>2</v>
      </c>
      <c r="D416" s="18">
        <v>29</v>
      </c>
      <c r="E416" s="20" t="s">
        <v>3279</v>
      </c>
      <c r="F416" s="17" t="s">
        <v>23</v>
      </c>
      <c r="G416" s="19" t="s">
        <v>50</v>
      </c>
      <c r="H416" s="18">
        <v>6.4</v>
      </c>
      <c r="I416" s="17" t="s">
        <v>49</v>
      </c>
      <c r="J416" s="17" t="s">
        <v>48</v>
      </c>
      <c r="K416" s="17"/>
      <c r="L416" s="17"/>
      <c r="M416" s="16" t="str">
        <f>HYPERLINK("http://slimages.macys.com/is/image/MCY/16545071 ")</f>
        <v xml:space="preserve">http://slimages.macys.com/is/image/MCY/16545071 </v>
      </c>
      <c r="N416" s="30"/>
    </row>
    <row r="417" spans="1:14" ht="60" x14ac:dyDescent="0.25">
      <c r="A417" s="19" t="s">
        <v>3278</v>
      </c>
      <c r="B417" s="17" t="s">
        <v>3277</v>
      </c>
      <c r="C417" s="20">
        <v>4</v>
      </c>
      <c r="D417" s="18">
        <v>25</v>
      </c>
      <c r="E417" s="20" t="s">
        <v>978</v>
      </c>
      <c r="F417" s="17" t="s">
        <v>28</v>
      </c>
      <c r="G417" s="19" t="s">
        <v>50</v>
      </c>
      <c r="H417" s="18">
        <v>5.86</v>
      </c>
      <c r="I417" s="17" t="s">
        <v>16</v>
      </c>
      <c r="J417" s="17" t="s">
        <v>15</v>
      </c>
      <c r="K417" s="17"/>
      <c r="L417" s="17"/>
      <c r="M417" s="16" t="str">
        <f>HYPERLINK("http://slimages.macys.com/is/image/MCY/19122031 ")</f>
        <v xml:space="preserve">http://slimages.macys.com/is/image/MCY/19122031 </v>
      </c>
      <c r="N417" s="30"/>
    </row>
    <row r="418" spans="1:14" ht="60" x14ac:dyDescent="0.25">
      <c r="A418" s="19" t="s">
        <v>3276</v>
      </c>
      <c r="B418" s="17" t="s">
        <v>3275</v>
      </c>
      <c r="C418" s="20">
        <v>15</v>
      </c>
      <c r="D418" s="18">
        <v>25</v>
      </c>
      <c r="E418" s="20" t="s">
        <v>2469</v>
      </c>
      <c r="F418" s="17" t="s">
        <v>149</v>
      </c>
      <c r="G418" s="19" t="s">
        <v>17</v>
      </c>
      <c r="H418" s="18">
        <v>5.8533333333333335</v>
      </c>
      <c r="I418" s="17" t="s">
        <v>16</v>
      </c>
      <c r="J418" s="17" t="s">
        <v>15</v>
      </c>
      <c r="K418" s="17"/>
      <c r="L418" s="17"/>
      <c r="M418" s="16" t="str">
        <f>HYPERLINK("http://slimages.macys.com/is/image/MCY/19544562 ")</f>
        <v xml:space="preserve">http://slimages.macys.com/is/image/MCY/19544562 </v>
      </c>
      <c r="N418" s="30"/>
    </row>
    <row r="419" spans="1:14" ht="60" x14ac:dyDescent="0.25">
      <c r="A419" s="19" t="s">
        <v>3274</v>
      </c>
      <c r="B419" s="17" t="s">
        <v>3273</v>
      </c>
      <c r="C419" s="20">
        <v>1</v>
      </c>
      <c r="D419" s="18">
        <v>25</v>
      </c>
      <c r="E419" s="20" t="s">
        <v>29</v>
      </c>
      <c r="F419" s="17" t="s">
        <v>149</v>
      </c>
      <c r="G419" s="19" t="s">
        <v>22</v>
      </c>
      <c r="H419" s="18">
        <v>5.8533333333333335</v>
      </c>
      <c r="I419" s="17" t="s">
        <v>16</v>
      </c>
      <c r="J419" s="17" t="s">
        <v>15</v>
      </c>
      <c r="K419" s="17"/>
      <c r="L419" s="17"/>
      <c r="M419" s="16" t="str">
        <f>HYPERLINK("http://slimages.macys.com/is/image/MCY/19060090 ")</f>
        <v xml:space="preserve">http://slimages.macys.com/is/image/MCY/19060090 </v>
      </c>
      <c r="N419" s="30"/>
    </row>
    <row r="420" spans="1:14" ht="60" x14ac:dyDescent="0.25">
      <c r="A420" s="19" t="s">
        <v>3272</v>
      </c>
      <c r="B420" s="17" t="s">
        <v>3271</v>
      </c>
      <c r="C420" s="20">
        <v>1</v>
      </c>
      <c r="D420" s="18">
        <v>25</v>
      </c>
      <c r="E420" s="20" t="s">
        <v>2469</v>
      </c>
      <c r="F420" s="17" t="s">
        <v>413</v>
      </c>
      <c r="G420" s="19" t="s">
        <v>17</v>
      </c>
      <c r="H420" s="18">
        <v>5.8533333333333335</v>
      </c>
      <c r="I420" s="17" t="s">
        <v>16</v>
      </c>
      <c r="J420" s="17" t="s">
        <v>15</v>
      </c>
      <c r="K420" s="17"/>
      <c r="L420" s="17"/>
      <c r="M420" s="16" t="str">
        <f>HYPERLINK("http://slimages.macys.com/is/image/MCY/19544562 ")</f>
        <v xml:space="preserve">http://slimages.macys.com/is/image/MCY/19544562 </v>
      </c>
      <c r="N420" s="30"/>
    </row>
    <row r="421" spans="1:14" ht="60" x14ac:dyDescent="0.25">
      <c r="A421" s="19" t="s">
        <v>3270</v>
      </c>
      <c r="B421" s="17" t="s">
        <v>3269</v>
      </c>
      <c r="C421" s="20">
        <v>1</v>
      </c>
      <c r="D421" s="18">
        <v>24.5</v>
      </c>
      <c r="E421" s="20" t="s">
        <v>3268</v>
      </c>
      <c r="F421" s="17" t="s">
        <v>85</v>
      </c>
      <c r="G421" s="19" t="s">
        <v>351</v>
      </c>
      <c r="H421" s="18">
        <v>5.7333333333333334</v>
      </c>
      <c r="I421" s="17" t="s">
        <v>1891</v>
      </c>
      <c r="J421" s="17" t="s">
        <v>67</v>
      </c>
      <c r="K421" s="17" t="s">
        <v>389</v>
      </c>
      <c r="L421" s="17" t="s">
        <v>3264</v>
      </c>
      <c r="M421" s="16" t="str">
        <f>HYPERLINK("http://slimages.macys.com/is/image/MCY/8330385 ")</f>
        <v xml:space="preserve">http://slimages.macys.com/is/image/MCY/8330385 </v>
      </c>
      <c r="N421" s="30"/>
    </row>
    <row r="422" spans="1:14" ht="60" x14ac:dyDescent="0.25">
      <c r="A422" s="19" t="s">
        <v>3267</v>
      </c>
      <c r="B422" s="17" t="s">
        <v>3266</v>
      </c>
      <c r="C422" s="20">
        <v>1</v>
      </c>
      <c r="D422" s="18">
        <v>24.5</v>
      </c>
      <c r="E422" s="20" t="s">
        <v>3265</v>
      </c>
      <c r="F422" s="17" t="s">
        <v>23</v>
      </c>
      <c r="G422" s="19" t="s">
        <v>197</v>
      </c>
      <c r="H422" s="18">
        <v>5.7333333333333334</v>
      </c>
      <c r="I422" s="17" t="s">
        <v>68</v>
      </c>
      <c r="J422" s="17" t="s">
        <v>67</v>
      </c>
      <c r="K422" s="17" t="s">
        <v>389</v>
      </c>
      <c r="L422" s="17" t="s">
        <v>3264</v>
      </c>
      <c r="M422" s="16" t="str">
        <f>HYPERLINK("http://slimages.macys.com/is/image/MCY/9592849 ")</f>
        <v xml:space="preserve">http://slimages.macys.com/is/image/MCY/9592849 </v>
      </c>
      <c r="N422" s="30"/>
    </row>
    <row r="423" spans="1:14" ht="60" x14ac:dyDescent="0.25">
      <c r="A423" s="19" t="s">
        <v>3263</v>
      </c>
      <c r="B423" s="17" t="s">
        <v>3262</v>
      </c>
      <c r="C423" s="20">
        <v>1</v>
      </c>
      <c r="D423" s="18">
        <v>29.5</v>
      </c>
      <c r="E423" s="20" t="s">
        <v>3261</v>
      </c>
      <c r="F423" s="17" t="s">
        <v>23</v>
      </c>
      <c r="G423" s="19" t="s">
        <v>271</v>
      </c>
      <c r="H423" s="18">
        <v>5.7333333333333334</v>
      </c>
      <c r="I423" s="17" t="s">
        <v>1891</v>
      </c>
      <c r="J423" s="17" t="s">
        <v>67</v>
      </c>
      <c r="K423" s="17"/>
      <c r="L423" s="17"/>
      <c r="M423" s="16" t="str">
        <f>HYPERLINK("http://slimages.macys.com/is/image/MCY/18344897 ")</f>
        <v xml:space="preserve">http://slimages.macys.com/is/image/MCY/18344897 </v>
      </c>
      <c r="N423" s="30"/>
    </row>
    <row r="424" spans="1:14" ht="60" x14ac:dyDescent="0.25">
      <c r="A424" s="19" t="s">
        <v>3260</v>
      </c>
      <c r="B424" s="17" t="s">
        <v>3259</v>
      </c>
      <c r="C424" s="20">
        <v>1</v>
      </c>
      <c r="D424" s="18">
        <v>39</v>
      </c>
      <c r="E424" s="20">
        <v>2350610</v>
      </c>
      <c r="F424" s="17" t="s">
        <v>3258</v>
      </c>
      <c r="G424" s="19" t="s">
        <v>101</v>
      </c>
      <c r="H424" s="18">
        <v>5.72</v>
      </c>
      <c r="I424" s="17" t="s">
        <v>80</v>
      </c>
      <c r="J424" s="17" t="s">
        <v>293</v>
      </c>
      <c r="K424" s="17"/>
      <c r="L424" s="17"/>
      <c r="M424" s="16" t="str">
        <f>HYPERLINK("http://slimages.macys.com/is/image/MCY/17840876 ")</f>
        <v xml:space="preserve">http://slimages.macys.com/is/image/MCY/17840876 </v>
      </c>
      <c r="N424" s="30"/>
    </row>
    <row r="425" spans="1:14" ht="60" x14ac:dyDescent="0.25">
      <c r="A425" s="19" t="s">
        <v>3257</v>
      </c>
      <c r="B425" s="17" t="s">
        <v>3256</v>
      </c>
      <c r="C425" s="20">
        <v>1</v>
      </c>
      <c r="D425" s="18">
        <v>30</v>
      </c>
      <c r="E425" s="20" t="s">
        <v>3255</v>
      </c>
      <c r="F425" s="17" t="s">
        <v>51</v>
      </c>
      <c r="G425" s="19" t="s">
        <v>57</v>
      </c>
      <c r="H425" s="18">
        <v>5.6</v>
      </c>
      <c r="I425" s="17" t="s">
        <v>80</v>
      </c>
      <c r="J425" s="17" t="s">
        <v>183</v>
      </c>
      <c r="K425" s="17"/>
      <c r="L425" s="17"/>
      <c r="M425" s="16" t="str">
        <f>HYPERLINK("http://slimages.macys.com/is/image/MCY/19106981 ")</f>
        <v xml:space="preserve">http://slimages.macys.com/is/image/MCY/19106981 </v>
      </c>
      <c r="N425" s="30"/>
    </row>
    <row r="426" spans="1:14" ht="60" x14ac:dyDescent="0.25">
      <c r="A426" s="19" t="s">
        <v>3254</v>
      </c>
      <c r="B426" s="17" t="s">
        <v>3253</v>
      </c>
      <c r="C426" s="20">
        <v>1</v>
      </c>
      <c r="D426" s="18">
        <v>28</v>
      </c>
      <c r="E426" s="20" t="s">
        <v>3252</v>
      </c>
      <c r="F426" s="17" t="s">
        <v>413</v>
      </c>
      <c r="G426" s="19" t="s">
        <v>74</v>
      </c>
      <c r="H426" s="18">
        <v>5.2266666666666675</v>
      </c>
      <c r="I426" s="17" t="s">
        <v>80</v>
      </c>
      <c r="J426" s="17" t="s">
        <v>183</v>
      </c>
      <c r="K426" s="17"/>
      <c r="L426" s="17"/>
      <c r="M426" s="16" t="str">
        <f>HYPERLINK("http://slimages.macys.com/is/image/MCY/19736877 ")</f>
        <v xml:space="preserve">http://slimages.macys.com/is/image/MCY/19736877 </v>
      </c>
      <c r="N426" s="30"/>
    </row>
    <row r="427" spans="1:14" ht="60" x14ac:dyDescent="0.25">
      <c r="A427" s="19" t="s">
        <v>3251</v>
      </c>
      <c r="B427" s="17" t="s">
        <v>3250</v>
      </c>
      <c r="C427" s="20">
        <v>1</v>
      </c>
      <c r="D427" s="18">
        <v>34</v>
      </c>
      <c r="E427" s="20" t="s">
        <v>3249</v>
      </c>
      <c r="F427" s="17" t="s">
        <v>345</v>
      </c>
      <c r="G427" s="19" t="s">
        <v>57</v>
      </c>
      <c r="H427" s="18">
        <v>5.0666666666666673</v>
      </c>
      <c r="I427" s="17" t="s">
        <v>1700</v>
      </c>
      <c r="J427" s="17" t="s">
        <v>1699</v>
      </c>
      <c r="K427" s="17"/>
      <c r="L427" s="17"/>
      <c r="M427" s="16" t="str">
        <f>HYPERLINK("http://slimages.macys.com/is/image/MCY/18944604 ")</f>
        <v xml:space="preserve">http://slimages.macys.com/is/image/MCY/18944604 </v>
      </c>
      <c r="N427" s="30"/>
    </row>
    <row r="428" spans="1:14" ht="60" x14ac:dyDescent="0.25">
      <c r="A428" s="19" t="s">
        <v>3248</v>
      </c>
      <c r="B428" s="17" t="s">
        <v>3247</v>
      </c>
      <c r="C428" s="20">
        <v>6</v>
      </c>
      <c r="D428" s="18">
        <v>34</v>
      </c>
      <c r="E428" s="20" t="s">
        <v>3246</v>
      </c>
      <c r="F428" s="17" t="s">
        <v>149</v>
      </c>
      <c r="G428" s="19" t="s">
        <v>69</v>
      </c>
      <c r="H428" s="18">
        <v>5.0666666666666673</v>
      </c>
      <c r="I428" s="17" t="s">
        <v>1700</v>
      </c>
      <c r="J428" s="17" t="s">
        <v>1699</v>
      </c>
      <c r="K428" s="17"/>
      <c r="L428" s="17"/>
      <c r="M428" s="16" t="str">
        <f>HYPERLINK("http://slimages.macys.com/is/image/MCY/18265050 ")</f>
        <v xml:space="preserve">http://slimages.macys.com/is/image/MCY/18265050 </v>
      </c>
      <c r="N428" s="30"/>
    </row>
    <row r="429" spans="1:14" ht="60" x14ac:dyDescent="0.25">
      <c r="A429" s="19" t="s">
        <v>3245</v>
      </c>
      <c r="B429" s="17" t="s">
        <v>3244</v>
      </c>
      <c r="C429" s="20">
        <v>1</v>
      </c>
      <c r="D429" s="18">
        <v>20</v>
      </c>
      <c r="E429" s="20" t="s">
        <v>2459</v>
      </c>
      <c r="F429" s="17" t="s">
        <v>85</v>
      </c>
      <c r="G429" s="19" t="s">
        <v>17</v>
      </c>
      <c r="H429" s="18">
        <v>4.9533333333333331</v>
      </c>
      <c r="I429" s="17" t="s">
        <v>16</v>
      </c>
      <c r="J429" s="17" t="s">
        <v>15</v>
      </c>
      <c r="K429" s="17"/>
      <c r="L429" s="17"/>
      <c r="M429" s="16" t="str">
        <f>HYPERLINK("http://slimages.macys.com/is/image/MCY/19147505 ")</f>
        <v xml:space="preserve">http://slimages.macys.com/is/image/MCY/19147505 </v>
      </c>
      <c r="N429" s="30"/>
    </row>
    <row r="430" spans="1:14" ht="60" x14ac:dyDescent="0.25">
      <c r="A430" s="19" t="s">
        <v>3243</v>
      </c>
      <c r="B430" s="17" t="s">
        <v>3242</v>
      </c>
      <c r="C430" s="20">
        <v>1</v>
      </c>
      <c r="D430" s="18">
        <v>20</v>
      </c>
      <c r="E430" s="20" t="s">
        <v>2459</v>
      </c>
      <c r="F430" s="17" t="s">
        <v>85</v>
      </c>
      <c r="G430" s="19" t="s">
        <v>50</v>
      </c>
      <c r="H430" s="18">
        <v>4.9533333333333331</v>
      </c>
      <c r="I430" s="17" t="s">
        <v>16</v>
      </c>
      <c r="J430" s="17" t="s">
        <v>15</v>
      </c>
      <c r="K430" s="17"/>
      <c r="L430" s="17"/>
      <c r="M430" s="16" t="str">
        <f>HYPERLINK("http://slimages.macys.com/is/image/MCY/19147505 ")</f>
        <v xml:space="preserve">http://slimages.macys.com/is/image/MCY/19147505 </v>
      </c>
      <c r="N430" s="30"/>
    </row>
    <row r="431" spans="1:14" ht="60" x14ac:dyDescent="0.25">
      <c r="A431" s="19" t="s">
        <v>3241</v>
      </c>
      <c r="B431" s="17" t="s">
        <v>3240</v>
      </c>
      <c r="C431" s="20">
        <v>1</v>
      </c>
      <c r="D431" s="18">
        <v>20</v>
      </c>
      <c r="E431" s="20" t="s">
        <v>3239</v>
      </c>
      <c r="F431" s="17" t="s">
        <v>149</v>
      </c>
      <c r="G431" s="19" t="s">
        <v>17</v>
      </c>
      <c r="H431" s="18">
        <v>4.9466666666666672</v>
      </c>
      <c r="I431" s="17" t="s">
        <v>16</v>
      </c>
      <c r="J431" s="17" t="s">
        <v>15</v>
      </c>
      <c r="K431" s="17"/>
      <c r="L431" s="17"/>
      <c r="M431" s="16" t="str">
        <f>HYPERLINK("http://slimages.macys.com/is/image/MCY/18946626 ")</f>
        <v xml:space="preserve">http://slimages.macys.com/is/image/MCY/18946626 </v>
      </c>
      <c r="N431" s="30"/>
    </row>
    <row r="432" spans="1:14" ht="60" x14ac:dyDescent="0.25">
      <c r="A432" s="19" t="s">
        <v>3238</v>
      </c>
      <c r="B432" s="17" t="s">
        <v>3237</v>
      </c>
      <c r="C432" s="20">
        <v>1</v>
      </c>
      <c r="D432" s="18">
        <v>34</v>
      </c>
      <c r="E432" s="20" t="s">
        <v>3236</v>
      </c>
      <c r="F432" s="17" t="s">
        <v>919</v>
      </c>
      <c r="G432" s="19" t="s">
        <v>74</v>
      </c>
      <c r="H432" s="18">
        <v>4.3333333333333339</v>
      </c>
      <c r="I432" s="17" t="s">
        <v>1700</v>
      </c>
      <c r="J432" s="17" t="s">
        <v>1699</v>
      </c>
      <c r="K432" s="17"/>
      <c r="L432" s="17"/>
      <c r="M432" s="16" t="str">
        <f>HYPERLINK("http://slimages.macys.com/is/image/MCY/18621915 ")</f>
        <v xml:space="preserve">http://slimages.macys.com/is/image/MCY/18621915 </v>
      </c>
      <c r="N432" s="30"/>
    </row>
    <row r="433" spans="1:14" ht="60" x14ac:dyDescent="0.25">
      <c r="A433" s="19" t="s">
        <v>3235</v>
      </c>
      <c r="B433" s="17" t="s">
        <v>3234</v>
      </c>
      <c r="C433" s="20">
        <v>1</v>
      </c>
      <c r="D433" s="18">
        <v>375</v>
      </c>
      <c r="E433" s="20" t="s">
        <v>3233</v>
      </c>
      <c r="F433" s="17" t="s">
        <v>508</v>
      </c>
      <c r="G433" s="19" t="s">
        <v>69</v>
      </c>
      <c r="H433" s="18">
        <v>113.33333333333334</v>
      </c>
      <c r="I433" s="17" t="s">
        <v>133</v>
      </c>
      <c r="J433" s="17" t="s">
        <v>953</v>
      </c>
      <c r="K433" s="17"/>
      <c r="L433" s="17"/>
      <c r="M433" s="16"/>
      <c r="N433" s="30"/>
    </row>
    <row r="434" spans="1:14" ht="24" x14ac:dyDescent="0.25">
      <c r="A434" s="19" t="s">
        <v>3232</v>
      </c>
      <c r="B434" s="17" t="s">
        <v>3231</v>
      </c>
      <c r="C434" s="20">
        <v>1</v>
      </c>
      <c r="D434" s="18">
        <v>348</v>
      </c>
      <c r="E434" s="20" t="s">
        <v>3230</v>
      </c>
      <c r="F434" s="17" t="s">
        <v>919</v>
      </c>
      <c r="G434" s="19" t="s">
        <v>62</v>
      </c>
      <c r="H434" s="18">
        <v>109.56666666666666</v>
      </c>
      <c r="I434" s="17" t="s">
        <v>153</v>
      </c>
      <c r="J434" s="17" t="s">
        <v>153</v>
      </c>
      <c r="K434" s="17"/>
      <c r="L434" s="17"/>
      <c r="M434" s="16"/>
      <c r="N434" s="30"/>
    </row>
    <row r="435" spans="1:14" ht="24" x14ac:dyDescent="0.25">
      <c r="A435" s="19" t="s">
        <v>3229</v>
      </c>
      <c r="B435" s="17" t="s">
        <v>3228</v>
      </c>
      <c r="C435" s="20">
        <v>1</v>
      </c>
      <c r="D435" s="18">
        <v>298</v>
      </c>
      <c r="E435" s="20" t="s">
        <v>3227</v>
      </c>
      <c r="F435" s="17" t="s">
        <v>97</v>
      </c>
      <c r="G435" s="19" t="s">
        <v>351</v>
      </c>
      <c r="H435" s="18">
        <v>93.733333333333334</v>
      </c>
      <c r="I435" s="17" t="s">
        <v>153</v>
      </c>
      <c r="J435" s="17" t="s">
        <v>153</v>
      </c>
      <c r="K435" s="17"/>
      <c r="L435" s="17"/>
      <c r="M435" s="16"/>
      <c r="N435" s="30"/>
    </row>
    <row r="436" spans="1:14" ht="36" x14ac:dyDescent="0.25">
      <c r="A436" s="19" t="s">
        <v>3226</v>
      </c>
      <c r="B436" s="17" t="s">
        <v>3225</v>
      </c>
      <c r="C436" s="20">
        <v>1</v>
      </c>
      <c r="D436" s="18">
        <v>325</v>
      </c>
      <c r="E436" s="20">
        <v>311114112000100</v>
      </c>
      <c r="F436" s="17" t="s">
        <v>1526</v>
      </c>
      <c r="G436" s="19" t="s">
        <v>682</v>
      </c>
      <c r="H436" s="18">
        <v>90</v>
      </c>
      <c r="I436" s="17" t="s">
        <v>158</v>
      </c>
      <c r="J436" s="17" t="s">
        <v>946</v>
      </c>
      <c r="K436" s="17"/>
      <c r="L436" s="17"/>
      <c r="M436" s="16"/>
      <c r="N436" s="30"/>
    </row>
    <row r="437" spans="1:14" ht="60" x14ac:dyDescent="0.25">
      <c r="A437" s="19" t="s">
        <v>3224</v>
      </c>
      <c r="B437" s="17" t="s">
        <v>3223</v>
      </c>
      <c r="C437" s="20">
        <v>1</v>
      </c>
      <c r="D437" s="18">
        <v>295</v>
      </c>
      <c r="E437" s="20" t="s">
        <v>1592</v>
      </c>
      <c r="F437" s="17" t="s">
        <v>51</v>
      </c>
      <c r="G437" s="19" t="s">
        <v>69</v>
      </c>
      <c r="H437" s="18">
        <v>81</v>
      </c>
      <c r="I437" s="17" t="s">
        <v>133</v>
      </c>
      <c r="J437" s="17" t="s">
        <v>953</v>
      </c>
      <c r="K437" s="17"/>
      <c r="L437" s="17"/>
      <c r="M437" s="16"/>
      <c r="N437" s="30"/>
    </row>
    <row r="438" spans="1:14" ht="24" x14ac:dyDescent="0.25">
      <c r="A438" s="19" t="s">
        <v>3222</v>
      </c>
      <c r="B438" s="17" t="s">
        <v>3221</v>
      </c>
      <c r="C438" s="20">
        <v>1</v>
      </c>
      <c r="D438" s="18">
        <v>278</v>
      </c>
      <c r="E438" s="20" t="s">
        <v>3220</v>
      </c>
      <c r="F438" s="17" t="s">
        <v>575</v>
      </c>
      <c r="G438" s="19" t="s">
        <v>69</v>
      </c>
      <c r="H438" s="18">
        <v>61.640000000000008</v>
      </c>
      <c r="I438" s="17" t="s">
        <v>153</v>
      </c>
      <c r="J438" s="17" t="s">
        <v>153</v>
      </c>
      <c r="K438" s="17"/>
      <c r="L438" s="17"/>
      <c r="M438" s="16"/>
      <c r="N438" s="30"/>
    </row>
    <row r="439" spans="1:14" ht="24" x14ac:dyDescent="0.25">
      <c r="A439" s="19" t="s">
        <v>3219</v>
      </c>
      <c r="B439" s="17" t="s">
        <v>3218</v>
      </c>
      <c r="C439" s="20">
        <v>3</v>
      </c>
      <c r="D439" s="18">
        <v>198</v>
      </c>
      <c r="E439" s="20" t="s">
        <v>3217</v>
      </c>
      <c r="F439" s="17" t="s">
        <v>330</v>
      </c>
      <c r="G439" s="19"/>
      <c r="H439" s="18">
        <v>57.000000000000007</v>
      </c>
      <c r="I439" s="17" t="s">
        <v>148</v>
      </c>
      <c r="J439" s="17" t="s">
        <v>3216</v>
      </c>
      <c r="K439" s="17"/>
      <c r="L439" s="17"/>
      <c r="M439" s="16"/>
      <c r="N439" s="30"/>
    </row>
    <row r="440" spans="1:14" ht="24" x14ac:dyDescent="0.25">
      <c r="A440" s="19" t="s">
        <v>3215</v>
      </c>
      <c r="B440" s="17" t="s">
        <v>3214</v>
      </c>
      <c r="C440" s="20">
        <v>1</v>
      </c>
      <c r="D440" s="18">
        <v>178</v>
      </c>
      <c r="E440" s="20" t="s">
        <v>3213</v>
      </c>
      <c r="F440" s="17" t="s">
        <v>51</v>
      </c>
      <c r="G440" s="19" t="s">
        <v>2295</v>
      </c>
      <c r="H440" s="18">
        <v>51.04</v>
      </c>
      <c r="I440" s="17" t="s">
        <v>756</v>
      </c>
      <c r="J440" s="17" t="s">
        <v>153</v>
      </c>
      <c r="K440" s="17"/>
      <c r="L440" s="17"/>
      <c r="M440" s="16"/>
      <c r="N440" s="30"/>
    </row>
    <row r="441" spans="1:14" ht="24" x14ac:dyDescent="0.25">
      <c r="A441" s="19" t="s">
        <v>3212</v>
      </c>
      <c r="B441" s="17" t="s">
        <v>3211</v>
      </c>
      <c r="C441" s="20">
        <v>2</v>
      </c>
      <c r="D441" s="18">
        <v>158</v>
      </c>
      <c r="E441" s="20" t="s">
        <v>2296</v>
      </c>
      <c r="F441" s="17" t="s">
        <v>562</v>
      </c>
      <c r="G441" s="19" t="s">
        <v>3210</v>
      </c>
      <c r="H441" s="18">
        <v>45.24</v>
      </c>
      <c r="I441" s="17" t="s">
        <v>756</v>
      </c>
      <c r="J441" s="17" t="s">
        <v>153</v>
      </c>
      <c r="K441" s="17"/>
      <c r="L441" s="17"/>
      <c r="M441" s="16"/>
      <c r="N441" s="30"/>
    </row>
    <row r="442" spans="1:14" ht="48" x14ac:dyDescent="0.25">
      <c r="A442" s="19" t="s">
        <v>3209</v>
      </c>
      <c r="B442" s="17" t="s">
        <v>3208</v>
      </c>
      <c r="C442" s="20">
        <v>1</v>
      </c>
      <c r="D442" s="18">
        <v>159.94999999999999</v>
      </c>
      <c r="E442" s="20" t="s">
        <v>3207</v>
      </c>
      <c r="F442" s="17" t="s">
        <v>578</v>
      </c>
      <c r="G442" s="19" t="s">
        <v>3206</v>
      </c>
      <c r="H442" s="18">
        <v>44</v>
      </c>
      <c r="I442" s="17" t="s">
        <v>133</v>
      </c>
      <c r="J442" s="17" t="s">
        <v>3205</v>
      </c>
      <c r="K442" s="17"/>
      <c r="L442" s="17"/>
      <c r="M442" s="16"/>
      <c r="N442" s="30"/>
    </row>
    <row r="443" spans="1:14" ht="60" x14ac:dyDescent="0.25">
      <c r="A443" s="19" t="s">
        <v>3204</v>
      </c>
      <c r="B443" s="17" t="s">
        <v>3203</v>
      </c>
      <c r="C443" s="20">
        <v>1</v>
      </c>
      <c r="D443" s="18">
        <v>135</v>
      </c>
      <c r="E443" s="20" t="s">
        <v>1493</v>
      </c>
      <c r="F443" s="17" t="s">
        <v>51</v>
      </c>
      <c r="G443" s="19" t="s">
        <v>954</v>
      </c>
      <c r="H443" s="18">
        <v>36.6</v>
      </c>
      <c r="I443" s="17" t="s">
        <v>133</v>
      </c>
      <c r="J443" s="17" t="s">
        <v>953</v>
      </c>
      <c r="K443" s="17"/>
      <c r="L443" s="17"/>
      <c r="M443" s="16"/>
      <c r="N443" s="30"/>
    </row>
    <row r="444" spans="1:14" ht="48" x14ac:dyDescent="0.25">
      <c r="A444" s="19" t="s">
        <v>3202</v>
      </c>
      <c r="B444" s="17" t="s">
        <v>3201</v>
      </c>
      <c r="C444" s="20">
        <v>1</v>
      </c>
      <c r="D444" s="18">
        <v>139.5</v>
      </c>
      <c r="E444" s="20" t="s">
        <v>3200</v>
      </c>
      <c r="F444" s="17" t="s">
        <v>23</v>
      </c>
      <c r="G444" s="19" t="s">
        <v>898</v>
      </c>
      <c r="H444" s="18">
        <v>30.693333333333335</v>
      </c>
      <c r="I444" s="17" t="s">
        <v>654</v>
      </c>
      <c r="J444" s="17" t="s">
        <v>653</v>
      </c>
      <c r="K444" s="17"/>
      <c r="L444" s="17"/>
      <c r="M444" s="16"/>
      <c r="N444" s="30"/>
    </row>
    <row r="445" spans="1:14" ht="48" x14ac:dyDescent="0.25">
      <c r="A445" s="19" t="s">
        <v>3199</v>
      </c>
      <c r="B445" s="17" t="s">
        <v>3198</v>
      </c>
      <c r="C445" s="20">
        <v>1</v>
      </c>
      <c r="D445" s="18">
        <v>138</v>
      </c>
      <c r="E445" s="20" t="s">
        <v>3197</v>
      </c>
      <c r="F445" s="17" t="s">
        <v>58</v>
      </c>
      <c r="G445" s="19" t="s">
        <v>1862</v>
      </c>
      <c r="H445" s="18">
        <v>29.253333333333334</v>
      </c>
      <c r="I445" s="17" t="s">
        <v>115</v>
      </c>
      <c r="J445" s="17" t="s">
        <v>653</v>
      </c>
      <c r="K445" s="17"/>
      <c r="L445" s="17"/>
      <c r="M445" s="16"/>
      <c r="N445" s="30"/>
    </row>
    <row r="446" spans="1:14" ht="24" x14ac:dyDescent="0.25">
      <c r="A446" s="19" t="s">
        <v>3196</v>
      </c>
      <c r="B446" s="17" t="s">
        <v>3195</v>
      </c>
      <c r="C446" s="20">
        <v>1</v>
      </c>
      <c r="D446" s="18">
        <v>88</v>
      </c>
      <c r="E446" s="20" t="s">
        <v>3194</v>
      </c>
      <c r="F446" s="17" t="s">
        <v>51</v>
      </c>
      <c r="G446" s="19" t="s">
        <v>197</v>
      </c>
      <c r="H446" s="18">
        <v>26.666666666666668</v>
      </c>
      <c r="I446" s="17" t="s">
        <v>133</v>
      </c>
      <c r="J446" s="17" t="s">
        <v>1437</v>
      </c>
      <c r="K446" s="17"/>
      <c r="L446" s="17"/>
      <c r="M446" s="16"/>
      <c r="N446" s="30"/>
    </row>
    <row r="447" spans="1:14" ht="48" x14ac:dyDescent="0.25">
      <c r="A447" s="19" t="s">
        <v>3193</v>
      </c>
      <c r="B447" s="17" t="s">
        <v>3192</v>
      </c>
      <c r="C447" s="20">
        <v>1</v>
      </c>
      <c r="D447" s="18">
        <v>139</v>
      </c>
      <c r="E447" s="20" t="s">
        <v>3191</v>
      </c>
      <c r="F447" s="17" t="s">
        <v>575</v>
      </c>
      <c r="G447" s="19" t="s">
        <v>96</v>
      </c>
      <c r="H447" s="18">
        <v>25.986666666666668</v>
      </c>
      <c r="I447" s="17" t="s">
        <v>820</v>
      </c>
      <c r="J447" s="17" t="s">
        <v>67</v>
      </c>
      <c r="K447" s="17"/>
      <c r="L447" s="17"/>
      <c r="M447" s="16"/>
      <c r="N447" s="30"/>
    </row>
    <row r="448" spans="1:14" ht="48" x14ac:dyDescent="0.25">
      <c r="A448" s="19" t="s">
        <v>3190</v>
      </c>
      <c r="B448" s="17" t="s">
        <v>3189</v>
      </c>
      <c r="C448" s="20">
        <v>1</v>
      </c>
      <c r="D448" s="18">
        <v>129</v>
      </c>
      <c r="E448" s="20" t="s">
        <v>3188</v>
      </c>
      <c r="F448" s="17" t="s">
        <v>70</v>
      </c>
      <c r="G448" s="19" t="s">
        <v>857</v>
      </c>
      <c r="H448" s="18">
        <v>24.080000000000002</v>
      </c>
      <c r="I448" s="17" t="s">
        <v>820</v>
      </c>
      <c r="J448" s="17" t="s">
        <v>67</v>
      </c>
      <c r="K448" s="17"/>
      <c r="L448" s="17"/>
      <c r="M448" s="16"/>
      <c r="N448" s="30"/>
    </row>
    <row r="449" spans="1:14" ht="36" x14ac:dyDescent="0.25">
      <c r="A449" s="19" t="s">
        <v>3187</v>
      </c>
      <c r="B449" s="17" t="s">
        <v>846</v>
      </c>
      <c r="C449" s="20">
        <v>3</v>
      </c>
      <c r="D449" s="18">
        <v>98</v>
      </c>
      <c r="E449" s="20" t="s">
        <v>845</v>
      </c>
      <c r="F449" s="17" t="s">
        <v>23</v>
      </c>
      <c r="G449" s="19" t="s">
        <v>62</v>
      </c>
      <c r="H449" s="18">
        <v>22.666666666666668</v>
      </c>
      <c r="I449" s="17" t="s">
        <v>133</v>
      </c>
      <c r="J449" s="17" t="s">
        <v>833</v>
      </c>
      <c r="K449" s="17"/>
      <c r="L449" s="17"/>
      <c r="M449" s="16"/>
      <c r="N449" s="30"/>
    </row>
    <row r="450" spans="1:14" x14ac:dyDescent="0.25">
      <c r="A450" s="19" t="s">
        <v>3186</v>
      </c>
      <c r="B450" s="17" t="s">
        <v>3185</v>
      </c>
      <c r="C450" s="20">
        <v>1</v>
      </c>
      <c r="D450" s="18">
        <v>98</v>
      </c>
      <c r="E450" s="20" t="s">
        <v>3184</v>
      </c>
      <c r="F450" s="17" t="s">
        <v>164</v>
      </c>
      <c r="G450" s="19" t="s">
        <v>62</v>
      </c>
      <c r="H450" s="18">
        <v>21.626666666666669</v>
      </c>
      <c r="I450" s="17" t="s">
        <v>49</v>
      </c>
      <c r="J450" s="17" t="s">
        <v>48</v>
      </c>
      <c r="K450" s="17"/>
      <c r="L450" s="17"/>
      <c r="M450" s="16"/>
      <c r="N450" s="30"/>
    </row>
    <row r="451" spans="1:14" ht="36" x14ac:dyDescent="0.25">
      <c r="A451" s="19" t="s">
        <v>3183</v>
      </c>
      <c r="B451" s="17" t="s">
        <v>3182</v>
      </c>
      <c r="C451" s="20">
        <v>1</v>
      </c>
      <c r="D451" s="18">
        <v>99</v>
      </c>
      <c r="E451" s="20">
        <v>7030018</v>
      </c>
      <c r="F451" s="17" t="s">
        <v>508</v>
      </c>
      <c r="G451" s="19" t="s">
        <v>62</v>
      </c>
      <c r="H451" s="18">
        <v>21.12</v>
      </c>
      <c r="I451" s="17" t="s">
        <v>111</v>
      </c>
      <c r="J451" s="17" t="s">
        <v>110</v>
      </c>
      <c r="K451" s="17"/>
      <c r="L451" s="17"/>
      <c r="M451" s="16"/>
      <c r="N451" s="30"/>
    </row>
    <row r="452" spans="1:14" ht="48" x14ac:dyDescent="0.25">
      <c r="A452" s="19" t="s">
        <v>3181</v>
      </c>
      <c r="B452" s="17" t="s">
        <v>3180</v>
      </c>
      <c r="C452" s="20">
        <v>1</v>
      </c>
      <c r="D452" s="18">
        <v>99</v>
      </c>
      <c r="E452" s="20">
        <v>10758722</v>
      </c>
      <c r="F452" s="17" t="s">
        <v>63</v>
      </c>
      <c r="G452" s="19" t="s">
        <v>1292</v>
      </c>
      <c r="H452" s="18">
        <v>19.14</v>
      </c>
      <c r="I452" s="17" t="s">
        <v>1307</v>
      </c>
      <c r="J452" s="17" t="s">
        <v>1306</v>
      </c>
      <c r="K452" s="17"/>
      <c r="L452" s="17"/>
      <c r="M452" s="16"/>
      <c r="N452" s="30"/>
    </row>
    <row r="453" spans="1:14" ht="60" x14ac:dyDescent="0.25">
      <c r="A453" s="19" t="s">
        <v>3179</v>
      </c>
      <c r="B453" s="17" t="s">
        <v>3178</v>
      </c>
      <c r="C453" s="20">
        <v>1</v>
      </c>
      <c r="D453" s="18">
        <v>89.5</v>
      </c>
      <c r="E453" s="20" t="s">
        <v>3177</v>
      </c>
      <c r="F453" s="17" t="s">
        <v>282</v>
      </c>
      <c r="G453" s="19" t="s">
        <v>62</v>
      </c>
      <c r="H453" s="18">
        <v>18.033333333333335</v>
      </c>
      <c r="I453" s="17" t="s">
        <v>106</v>
      </c>
      <c r="J453" s="17" t="s">
        <v>105</v>
      </c>
      <c r="K453" s="17"/>
      <c r="L453" s="17"/>
      <c r="M453" s="16"/>
      <c r="N453" s="30"/>
    </row>
    <row r="454" spans="1:14" ht="48" x14ac:dyDescent="0.25">
      <c r="A454" s="19" t="s">
        <v>3176</v>
      </c>
      <c r="B454" s="17" t="s">
        <v>3175</v>
      </c>
      <c r="C454" s="20">
        <v>1</v>
      </c>
      <c r="D454" s="18">
        <v>99</v>
      </c>
      <c r="E454" s="20">
        <v>10798872</v>
      </c>
      <c r="F454" s="17" t="s">
        <v>51</v>
      </c>
      <c r="G454" s="19" t="s">
        <v>69</v>
      </c>
      <c r="H454" s="18">
        <v>17.82</v>
      </c>
      <c r="I454" s="17" t="s">
        <v>115</v>
      </c>
      <c r="J454" s="17" t="s">
        <v>114</v>
      </c>
      <c r="K454" s="17"/>
      <c r="L454" s="17"/>
      <c r="M454" s="16"/>
      <c r="N454" s="30"/>
    </row>
    <row r="455" spans="1:14" ht="36" x14ac:dyDescent="0.25">
      <c r="A455" s="19" t="s">
        <v>3174</v>
      </c>
      <c r="B455" s="17" t="s">
        <v>3173</v>
      </c>
      <c r="C455" s="20">
        <v>1</v>
      </c>
      <c r="D455" s="18">
        <v>89</v>
      </c>
      <c r="E455" s="20" t="s">
        <v>3172</v>
      </c>
      <c r="F455" s="17" t="s">
        <v>35</v>
      </c>
      <c r="G455" s="19" t="s">
        <v>658</v>
      </c>
      <c r="H455" s="18">
        <v>17.8</v>
      </c>
      <c r="I455" s="17" t="s">
        <v>678</v>
      </c>
      <c r="J455" s="17" t="s">
        <v>404</v>
      </c>
      <c r="K455" s="17"/>
      <c r="L455" s="17"/>
      <c r="M455" s="16"/>
      <c r="N455" s="30"/>
    </row>
    <row r="456" spans="1:14" x14ac:dyDescent="0.25">
      <c r="A456" s="19" t="s">
        <v>3171</v>
      </c>
      <c r="B456" s="17" t="s">
        <v>3170</v>
      </c>
      <c r="C456" s="20">
        <v>1</v>
      </c>
      <c r="D456" s="18">
        <v>79</v>
      </c>
      <c r="E456" s="20" t="s">
        <v>3169</v>
      </c>
      <c r="F456" s="17" t="s">
        <v>23</v>
      </c>
      <c r="G456" s="19" t="s">
        <v>22</v>
      </c>
      <c r="H456" s="18">
        <v>17.433333333333337</v>
      </c>
      <c r="I456" s="17" t="s">
        <v>49</v>
      </c>
      <c r="J456" s="17" t="s">
        <v>48</v>
      </c>
      <c r="K456" s="17"/>
      <c r="L456" s="17"/>
      <c r="M456" s="16"/>
      <c r="N456" s="30"/>
    </row>
    <row r="457" spans="1:14" ht="60" x14ac:dyDescent="0.25">
      <c r="A457" s="19" t="s">
        <v>3168</v>
      </c>
      <c r="B457" s="17" t="s">
        <v>3167</v>
      </c>
      <c r="C457" s="20">
        <v>1</v>
      </c>
      <c r="D457" s="18">
        <v>89.5</v>
      </c>
      <c r="E457" s="20" t="s">
        <v>3166</v>
      </c>
      <c r="F457" s="17" t="s">
        <v>23</v>
      </c>
      <c r="G457" s="19" t="s">
        <v>139</v>
      </c>
      <c r="H457" s="18">
        <v>17.006666666666668</v>
      </c>
      <c r="I457" s="17" t="s">
        <v>540</v>
      </c>
      <c r="J457" s="17" t="s">
        <v>105</v>
      </c>
      <c r="K457" s="17"/>
      <c r="L457" s="17"/>
      <c r="M457" s="16"/>
      <c r="N457" s="30"/>
    </row>
    <row r="458" spans="1:14" ht="36" x14ac:dyDescent="0.25">
      <c r="A458" s="19" t="s">
        <v>3165</v>
      </c>
      <c r="B458" s="17" t="s">
        <v>3164</v>
      </c>
      <c r="C458" s="20">
        <v>1</v>
      </c>
      <c r="D458" s="18">
        <v>80</v>
      </c>
      <c r="E458" s="20" t="s">
        <v>3163</v>
      </c>
      <c r="F458" s="17" t="s">
        <v>28</v>
      </c>
      <c r="G458" s="19" t="s">
        <v>69</v>
      </c>
      <c r="H458" s="18">
        <v>16.666666666666668</v>
      </c>
      <c r="I458" s="17" t="s">
        <v>80</v>
      </c>
      <c r="J458" s="17" t="s">
        <v>187</v>
      </c>
      <c r="K458" s="17"/>
      <c r="L458" s="17"/>
      <c r="M458" s="16"/>
      <c r="N458" s="30"/>
    </row>
    <row r="459" spans="1:14" ht="36" x14ac:dyDescent="0.25">
      <c r="A459" s="19" t="s">
        <v>3162</v>
      </c>
      <c r="B459" s="17" t="s">
        <v>3161</v>
      </c>
      <c r="C459" s="20">
        <v>1</v>
      </c>
      <c r="D459" s="18">
        <v>89</v>
      </c>
      <c r="E459" s="20" t="s">
        <v>3160</v>
      </c>
      <c r="F459" s="17" t="s">
        <v>58</v>
      </c>
      <c r="G459" s="19" t="s">
        <v>874</v>
      </c>
      <c r="H459" s="18">
        <v>16.613333333333333</v>
      </c>
      <c r="I459" s="17" t="s">
        <v>33</v>
      </c>
      <c r="J459" s="17" t="s">
        <v>404</v>
      </c>
      <c r="K459" s="17"/>
      <c r="L459" s="17"/>
      <c r="M459" s="16"/>
      <c r="N459" s="30"/>
    </row>
    <row r="460" spans="1:14" ht="48" x14ac:dyDescent="0.25">
      <c r="A460" s="19" t="s">
        <v>3159</v>
      </c>
      <c r="B460" s="17" t="s">
        <v>3158</v>
      </c>
      <c r="C460" s="20">
        <v>1</v>
      </c>
      <c r="D460" s="18">
        <v>79</v>
      </c>
      <c r="E460" s="20">
        <v>10799236</v>
      </c>
      <c r="F460" s="17" t="s">
        <v>206</v>
      </c>
      <c r="G460" s="19" t="s">
        <v>857</v>
      </c>
      <c r="H460" s="18">
        <v>15.8</v>
      </c>
      <c r="I460" s="17" t="s">
        <v>115</v>
      </c>
      <c r="J460" s="17" t="s">
        <v>1211</v>
      </c>
      <c r="K460" s="17"/>
      <c r="L460" s="17"/>
      <c r="M460" s="16"/>
      <c r="N460" s="30"/>
    </row>
    <row r="461" spans="1:14" ht="48" x14ac:dyDescent="0.25">
      <c r="A461" s="19" t="s">
        <v>3157</v>
      </c>
      <c r="B461" s="17" t="s">
        <v>3156</v>
      </c>
      <c r="C461" s="20">
        <v>1</v>
      </c>
      <c r="D461" s="18">
        <v>79</v>
      </c>
      <c r="E461" s="20">
        <v>10798994</v>
      </c>
      <c r="F461" s="17" t="s">
        <v>85</v>
      </c>
      <c r="G461" s="19" t="s">
        <v>271</v>
      </c>
      <c r="H461" s="18">
        <v>15.273333333333333</v>
      </c>
      <c r="I461" s="17" t="s">
        <v>1307</v>
      </c>
      <c r="J461" s="17" t="s">
        <v>1306</v>
      </c>
      <c r="K461" s="17"/>
      <c r="L461" s="17"/>
      <c r="M461" s="16"/>
      <c r="N461" s="30"/>
    </row>
    <row r="462" spans="1:14" ht="48" x14ac:dyDescent="0.25">
      <c r="A462" s="19" t="s">
        <v>3155</v>
      </c>
      <c r="B462" s="17" t="s">
        <v>3154</v>
      </c>
      <c r="C462" s="20">
        <v>1</v>
      </c>
      <c r="D462" s="18">
        <v>79.5</v>
      </c>
      <c r="E462" s="20" t="s">
        <v>3153</v>
      </c>
      <c r="F462" s="17" t="s">
        <v>23</v>
      </c>
      <c r="G462" s="19" t="s">
        <v>271</v>
      </c>
      <c r="H462" s="18">
        <v>14.973333333333334</v>
      </c>
      <c r="I462" s="17" t="s">
        <v>1891</v>
      </c>
      <c r="J462" s="17" t="s">
        <v>2435</v>
      </c>
      <c r="K462" s="17"/>
      <c r="L462" s="17"/>
      <c r="M462" s="16"/>
      <c r="N462" s="30"/>
    </row>
    <row r="463" spans="1:14" ht="48" x14ac:dyDescent="0.25">
      <c r="A463" s="19" t="s">
        <v>3152</v>
      </c>
      <c r="B463" s="17" t="s">
        <v>3151</v>
      </c>
      <c r="C463" s="20">
        <v>1</v>
      </c>
      <c r="D463" s="18">
        <v>89</v>
      </c>
      <c r="E463" s="20" t="s">
        <v>3150</v>
      </c>
      <c r="F463" s="17" t="s">
        <v>575</v>
      </c>
      <c r="G463" s="19" t="s">
        <v>682</v>
      </c>
      <c r="H463" s="18">
        <v>14.833333333333334</v>
      </c>
      <c r="I463" s="17" t="s">
        <v>820</v>
      </c>
      <c r="J463" s="17" t="s">
        <v>67</v>
      </c>
      <c r="K463" s="17"/>
      <c r="L463" s="17"/>
      <c r="M463" s="16"/>
      <c r="N463" s="30"/>
    </row>
    <row r="464" spans="1:14" ht="48" x14ac:dyDescent="0.25">
      <c r="A464" s="19" t="s">
        <v>1633</v>
      </c>
      <c r="B464" s="17" t="s">
        <v>1632</v>
      </c>
      <c r="C464" s="20">
        <v>1</v>
      </c>
      <c r="D464" s="18">
        <v>55.3</v>
      </c>
      <c r="E464" s="20" t="s">
        <v>1631</v>
      </c>
      <c r="F464" s="17" t="s">
        <v>63</v>
      </c>
      <c r="G464" s="19" t="s">
        <v>62</v>
      </c>
      <c r="H464" s="18">
        <v>14.426666666666668</v>
      </c>
      <c r="I464" s="17" t="s">
        <v>42</v>
      </c>
      <c r="J464" s="17" t="s">
        <v>41</v>
      </c>
      <c r="K464" s="17"/>
      <c r="L464" s="17"/>
      <c r="M464" s="16"/>
      <c r="N464" s="30"/>
    </row>
    <row r="465" spans="1:14" ht="60" x14ac:dyDescent="0.25">
      <c r="A465" s="19" t="s">
        <v>3149</v>
      </c>
      <c r="B465" s="17" t="s">
        <v>3148</v>
      </c>
      <c r="C465" s="20">
        <v>15</v>
      </c>
      <c r="D465" s="18">
        <v>69.5</v>
      </c>
      <c r="E465" s="20" t="s">
        <v>1628</v>
      </c>
      <c r="F465" s="17" t="s">
        <v>544</v>
      </c>
      <c r="G465" s="19" t="s">
        <v>69</v>
      </c>
      <c r="H465" s="18">
        <v>14.000000000000002</v>
      </c>
      <c r="I465" s="17" t="s">
        <v>106</v>
      </c>
      <c r="J465" s="17" t="s">
        <v>105</v>
      </c>
      <c r="K465" s="17"/>
      <c r="L465" s="17"/>
      <c r="M465" s="16"/>
      <c r="N465" s="30"/>
    </row>
    <row r="466" spans="1:14" ht="60" x14ac:dyDescent="0.25">
      <c r="A466" s="19" t="s">
        <v>2443</v>
      </c>
      <c r="B466" s="17" t="s">
        <v>2442</v>
      </c>
      <c r="C466" s="20">
        <v>6</v>
      </c>
      <c r="D466" s="18">
        <v>69.5</v>
      </c>
      <c r="E466" s="20" t="s">
        <v>1628</v>
      </c>
      <c r="F466" s="17" t="s">
        <v>544</v>
      </c>
      <c r="G466" s="19" t="s">
        <v>57</v>
      </c>
      <c r="H466" s="18">
        <v>14.000000000000002</v>
      </c>
      <c r="I466" s="17" t="s">
        <v>106</v>
      </c>
      <c r="J466" s="17" t="s">
        <v>105</v>
      </c>
      <c r="K466" s="17"/>
      <c r="L466" s="17"/>
      <c r="M466" s="16"/>
      <c r="N466" s="30"/>
    </row>
    <row r="467" spans="1:14" ht="60" x14ac:dyDescent="0.25">
      <c r="A467" s="19" t="s">
        <v>1630</v>
      </c>
      <c r="B467" s="17" t="s">
        <v>1629</v>
      </c>
      <c r="C467" s="20">
        <v>2</v>
      </c>
      <c r="D467" s="18">
        <v>69.5</v>
      </c>
      <c r="E467" s="20" t="s">
        <v>1628</v>
      </c>
      <c r="F467" s="17" t="s">
        <v>544</v>
      </c>
      <c r="G467" s="19" t="s">
        <v>197</v>
      </c>
      <c r="H467" s="18">
        <v>14.000000000000002</v>
      </c>
      <c r="I467" s="17" t="s">
        <v>106</v>
      </c>
      <c r="J467" s="17" t="s">
        <v>105</v>
      </c>
      <c r="K467" s="17"/>
      <c r="L467" s="17"/>
      <c r="M467" s="16"/>
      <c r="N467" s="30"/>
    </row>
    <row r="468" spans="1:14" ht="60" x14ac:dyDescent="0.25">
      <c r="A468" s="19" t="s">
        <v>3147</v>
      </c>
      <c r="B468" s="17" t="s">
        <v>3146</v>
      </c>
      <c r="C468" s="20">
        <v>1</v>
      </c>
      <c r="D468" s="18">
        <v>69.5</v>
      </c>
      <c r="E468" s="20" t="s">
        <v>3145</v>
      </c>
      <c r="F468" s="17" t="s">
        <v>433</v>
      </c>
      <c r="G468" s="19" t="s">
        <v>74</v>
      </c>
      <c r="H468" s="18">
        <v>14.000000000000002</v>
      </c>
      <c r="I468" s="17" t="s">
        <v>106</v>
      </c>
      <c r="J468" s="17" t="s">
        <v>3144</v>
      </c>
      <c r="K468" s="17"/>
      <c r="L468" s="17"/>
      <c r="M468" s="16"/>
      <c r="N468" s="30"/>
    </row>
    <row r="469" spans="1:14" ht="48" x14ac:dyDescent="0.25">
      <c r="A469" s="19" t="s">
        <v>3143</v>
      </c>
      <c r="B469" s="17" t="s">
        <v>3142</v>
      </c>
      <c r="C469" s="20">
        <v>1</v>
      </c>
      <c r="D469" s="18">
        <v>79</v>
      </c>
      <c r="E469" s="20">
        <v>2321530</v>
      </c>
      <c r="F469" s="17" t="s">
        <v>70</v>
      </c>
      <c r="G469" s="19" t="s">
        <v>17</v>
      </c>
      <c r="H469" s="18">
        <v>13.333333333333334</v>
      </c>
      <c r="I469" s="17" t="s">
        <v>80</v>
      </c>
      <c r="J469" s="17" t="s">
        <v>293</v>
      </c>
      <c r="K469" s="17"/>
      <c r="L469" s="17"/>
      <c r="M469" s="16"/>
      <c r="N469" s="30"/>
    </row>
    <row r="470" spans="1:14" ht="60" x14ac:dyDescent="0.25">
      <c r="A470" s="19" t="s">
        <v>3141</v>
      </c>
      <c r="B470" s="17" t="s">
        <v>3140</v>
      </c>
      <c r="C470" s="20">
        <v>1</v>
      </c>
      <c r="D470" s="18">
        <v>69.5</v>
      </c>
      <c r="E470" s="20" t="s">
        <v>3139</v>
      </c>
      <c r="F470" s="17" t="s">
        <v>23</v>
      </c>
      <c r="G470" s="19" t="s">
        <v>351</v>
      </c>
      <c r="H470" s="18">
        <v>13.206666666666667</v>
      </c>
      <c r="I470" s="17" t="s">
        <v>540</v>
      </c>
      <c r="J470" s="17" t="s">
        <v>105</v>
      </c>
      <c r="K470" s="17"/>
      <c r="L470" s="17"/>
      <c r="M470" s="16"/>
      <c r="N470" s="30"/>
    </row>
    <row r="471" spans="1:14" ht="48" x14ac:dyDescent="0.25">
      <c r="A471" s="19" t="s">
        <v>3138</v>
      </c>
      <c r="B471" s="17" t="s">
        <v>3137</v>
      </c>
      <c r="C471" s="20">
        <v>1</v>
      </c>
      <c r="D471" s="18">
        <v>69.5</v>
      </c>
      <c r="E471" s="20" t="s">
        <v>3136</v>
      </c>
      <c r="F471" s="17" t="s">
        <v>58</v>
      </c>
      <c r="G471" s="19" t="s">
        <v>197</v>
      </c>
      <c r="H471" s="18">
        <v>13.086666666666668</v>
      </c>
      <c r="I471" s="17" t="s">
        <v>68</v>
      </c>
      <c r="J471" s="17" t="s">
        <v>67</v>
      </c>
      <c r="K471" s="17"/>
      <c r="L471" s="17"/>
      <c r="M471" s="16"/>
      <c r="N471" s="30"/>
    </row>
    <row r="472" spans="1:14" ht="36" x14ac:dyDescent="0.25">
      <c r="A472" s="19" t="s">
        <v>3135</v>
      </c>
      <c r="B472" s="17" t="s">
        <v>3133</v>
      </c>
      <c r="C472" s="20">
        <v>1</v>
      </c>
      <c r="D472" s="18">
        <v>59</v>
      </c>
      <c r="E472" s="20" t="s">
        <v>3132</v>
      </c>
      <c r="F472" s="17" t="s">
        <v>149</v>
      </c>
      <c r="G472" s="19" t="s">
        <v>74</v>
      </c>
      <c r="H472" s="18">
        <v>11.8</v>
      </c>
      <c r="I472" s="17" t="s">
        <v>678</v>
      </c>
      <c r="J472" s="17" t="s">
        <v>404</v>
      </c>
      <c r="K472" s="17"/>
      <c r="L472" s="17"/>
      <c r="M472" s="16"/>
      <c r="N472" s="30"/>
    </row>
    <row r="473" spans="1:14" ht="36" x14ac:dyDescent="0.25">
      <c r="A473" s="19" t="s">
        <v>3134</v>
      </c>
      <c r="B473" s="17" t="s">
        <v>3133</v>
      </c>
      <c r="C473" s="20">
        <v>1</v>
      </c>
      <c r="D473" s="18">
        <v>59</v>
      </c>
      <c r="E473" s="20" t="s">
        <v>3132</v>
      </c>
      <c r="F473" s="17" t="s">
        <v>149</v>
      </c>
      <c r="G473" s="19" t="s">
        <v>69</v>
      </c>
      <c r="H473" s="18">
        <v>11.8</v>
      </c>
      <c r="I473" s="17" t="s">
        <v>678</v>
      </c>
      <c r="J473" s="17" t="s">
        <v>404</v>
      </c>
      <c r="K473" s="17"/>
      <c r="L473" s="17"/>
      <c r="M473" s="16"/>
      <c r="N473" s="30"/>
    </row>
    <row r="474" spans="1:14" ht="48" x14ac:dyDescent="0.25">
      <c r="A474" s="19" t="s">
        <v>3131</v>
      </c>
      <c r="B474" s="17" t="s">
        <v>3130</v>
      </c>
      <c r="C474" s="20">
        <v>1</v>
      </c>
      <c r="D474" s="18">
        <v>69</v>
      </c>
      <c r="E474" s="20">
        <v>8151602</v>
      </c>
      <c r="F474" s="17" t="s">
        <v>508</v>
      </c>
      <c r="G474" s="19" t="s">
        <v>43</v>
      </c>
      <c r="H474" s="18">
        <v>11.500000000000002</v>
      </c>
      <c r="I474" s="17" t="s">
        <v>129</v>
      </c>
      <c r="J474" s="17" t="s">
        <v>128</v>
      </c>
      <c r="K474" s="17"/>
      <c r="L474" s="17"/>
      <c r="M474" s="16"/>
      <c r="N474" s="30"/>
    </row>
    <row r="475" spans="1:14" ht="48" x14ac:dyDescent="0.25">
      <c r="A475" s="19" t="s">
        <v>3129</v>
      </c>
      <c r="B475" s="17" t="s">
        <v>3128</v>
      </c>
      <c r="C475" s="20">
        <v>1</v>
      </c>
      <c r="D475" s="18">
        <v>69</v>
      </c>
      <c r="E475" s="20" t="s">
        <v>3127</v>
      </c>
      <c r="F475" s="17" t="s">
        <v>23</v>
      </c>
      <c r="G475" s="19" t="s">
        <v>69</v>
      </c>
      <c r="H475" s="18">
        <v>11.500000000000002</v>
      </c>
      <c r="I475" s="17" t="s">
        <v>820</v>
      </c>
      <c r="J475" s="17" t="s">
        <v>67</v>
      </c>
      <c r="K475" s="17"/>
      <c r="L475" s="17"/>
      <c r="M475" s="16"/>
      <c r="N475" s="30"/>
    </row>
    <row r="476" spans="1:14" ht="48" x14ac:dyDescent="0.25">
      <c r="A476" s="19" t="s">
        <v>3126</v>
      </c>
      <c r="B476" s="17" t="s">
        <v>2437</v>
      </c>
      <c r="C476" s="20">
        <v>1</v>
      </c>
      <c r="D476" s="18">
        <v>59.5</v>
      </c>
      <c r="E476" s="20" t="s">
        <v>2436</v>
      </c>
      <c r="F476" s="17" t="s">
        <v>63</v>
      </c>
      <c r="G476" s="19" t="s">
        <v>351</v>
      </c>
      <c r="H476" s="18">
        <v>11.206666666666667</v>
      </c>
      <c r="I476" s="17" t="s">
        <v>1891</v>
      </c>
      <c r="J476" s="17" t="s">
        <v>2435</v>
      </c>
      <c r="K476" s="17"/>
      <c r="L476" s="17"/>
      <c r="M476" s="16"/>
      <c r="N476" s="30"/>
    </row>
    <row r="477" spans="1:14" ht="48" x14ac:dyDescent="0.25">
      <c r="A477" s="19" t="s">
        <v>3125</v>
      </c>
      <c r="B477" s="17" t="s">
        <v>2437</v>
      </c>
      <c r="C477" s="20">
        <v>1</v>
      </c>
      <c r="D477" s="18">
        <v>59.5</v>
      </c>
      <c r="E477" s="20" t="s">
        <v>2436</v>
      </c>
      <c r="F477" s="17" t="s">
        <v>63</v>
      </c>
      <c r="G477" s="19" t="s">
        <v>139</v>
      </c>
      <c r="H477" s="18">
        <v>11.206666666666667</v>
      </c>
      <c r="I477" s="17" t="s">
        <v>1891</v>
      </c>
      <c r="J477" s="17" t="s">
        <v>2435</v>
      </c>
      <c r="K477" s="17"/>
      <c r="L477" s="17"/>
      <c r="M477" s="16"/>
      <c r="N477" s="30"/>
    </row>
    <row r="478" spans="1:14" ht="60" x14ac:dyDescent="0.25">
      <c r="A478" s="19" t="s">
        <v>3124</v>
      </c>
      <c r="B478" s="17" t="s">
        <v>3123</v>
      </c>
      <c r="C478" s="20">
        <v>1</v>
      </c>
      <c r="D478" s="18">
        <v>58</v>
      </c>
      <c r="E478" s="20" t="s">
        <v>3122</v>
      </c>
      <c r="F478" s="17" t="s">
        <v>91</v>
      </c>
      <c r="G478" s="19" t="s">
        <v>74</v>
      </c>
      <c r="H478" s="18">
        <v>10.826666666666668</v>
      </c>
      <c r="I478" s="17" t="s">
        <v>80</v>
      </c>
      <c r="J478" s="17" t="s">
        <v>183</v>
      </c>
      <c r="K478" s="17"/>
      <c r="L478" s="17"/>
      <c r="M478" s="16"/>
      <c r="N478" s="30"/>
    </row>
    <row r="479" spans="1:14" ht="60" x14ac:dyDescent="0.25">
      <c r="A479" s="19" t="s">
        <v>3121</v>
      </c>
      <c r="B479" s="17" t="s">
        <v>3120</v>
      </c>
      <c r="C479" s="20">
        <v>10</v>
      </c>
      <c r="D479" s="18">
        <v>49.5</v>
      </c>
      <c r="E479" s="20" t="s">
        <v>3117</v>
      </c>
      <c r="F479" s="17" t="s">
        <v>23</v>
      </c>
      <c r="G479" s="19" t="s">
        <v>62</v>
      </c>
      <c r="H479" s="18">
        <v>9.9733333333333345</v>
      </c>
      <c r="I479" s="17" t="s">
        <v>106</v>
      </c>
      <c r="J479" s="17" t="s">
        <v>105</v>
      </c>
      <c r="K479" s="17"/>
      <c r="L479" s="17"/>
      <c r="M479" s="16"/>
      <c r="N479" s="30"/>
    </row>
    <row r="480" spans="1:14" ht="60" x14ac:dyDescent="0.25">
      <c r="A480" s="19" t="s">
        <v>3119</v>
      </c>
      <c r="B480" s="17" t="s">
        <v>3118</v>
      </c>
      <c r="C480" s="20">
        <v>12</v>
      </c>
      <c r="D480" s="18">
        <v>49.5</v>
      </c>
      <c r="E480" s="20" t="s">
        <v>3117</v>
      </c>
      <c r="F480" s="17" t="s">
        <v>23</v>
      </c>
      <c r="G480" s="19" t="s">
        <v>74</v>
      </c>
      <c r="H480" s="18">
        <v>9.9733333333333345</v>
      </c>
      <c r="I480" s="17" t="s">
        <v>106</v>
      </c>
      <c r="J480" s="17" t="s">
        <v>105</v>
      </c>
      <c r="K480" s="17"/>
      <c r="L480" s="17"/>
      <c r="M480" s="16"/>
      <c r="N480" s="30"/>
    </row>
    <row r="481" spans="1:14" ht="36" x14ac:dyDescent="0.25">
      <c r="A481" s="19" t="s">
        <v>3116</v>
      </c>
      <c r="B481" s="17" t="s">
        <v>3115</v>
      </c>
      <c r="C481" s="20">
        <v>1</v>
      </c>
      <c r="D481" s="18">
        <v>59</v>
      </c>
      <c r="E481" s="20">
        <v>7031621</v>
      </c>
      <c r="F481" s="17" t="s">
        <v>140</v>
      </c>
      <c r="G481" s="19" t="s">
        <v>17</v>
      </c>
      <c r="H481" s="18">
        <v>9.8333333333333339</v>
      </c>
      <c r="I481" s="17" t="s">
        <v>111</v>
      </c>
      <c r="J481" s="17" t="s">
        <v>110</v>
      </c>
      <c r="K481" s="17"/>
      <c r="L481" s="17"/>
      <c r="M481" s="16"/>
      <c r="N481" s="30"/>
    </row>
    <row r="482" spans="1:14" ht="24" x14ac:dyDescent="0.25">
      <c r="A482" s="19" t="s">
        <v>3114</v>
      </c>
      <c r="B482" s="17" t="s">
        <v>3112</v>
      </c>
      <c r="C482" s="20">
        <v>1</v>
      </c>
      <c r="D482" s="18">
        <v>59.25</v>
      </c>
      <c r="E482" s="20">
        <v>10675496</v>
      </c>
      <c r="F482" s="17" t="s">
        <v>51</v>
      </c>
      <c r="G482" s="19" t="s">
        <v>271</v>
      </c>
      <c r="H482" s="18">
        <v>9.8000000000000007</v>
      </c>
      <c r="I482" s="17" t="s">
        <v>358</v>
      </c>
      <c r="J482" s="17" t="s">
        <v>143</v>
      </c>
      <c r="K482" s="17"/>
      <c r="L482" s="17"/>
      <c r="M482" s="16"/>
      <c r="N482" s="30"/>
    </row>
    <row r="483" spans="1:14" ht="24" x14ac:dyDescent="0.25">
      <c r="A483" s="19" t="s">
        <v>3113</v>
      </c>
      <c r="B483" s="17" t="s">
        <v>3112</v>
      </c>
      <c r="C483" s="20">
        <v>1</v>
      </c>
      <c r="D483" s="18">
        <v>59.25</v>
      </c>
      <c r="E483" s="20">
        <v>10675496</v>
      </c>
      <c r="F483" s="17" t="s">
        <v>51</v>
      </c>
      <c r="G483" s="19" t="s">
        <v>139</v>
      </c>
      <c r="H483" s="18">
        <v>9.8000000000000007</v>
      </c>
      <c r="I483" s="17" t="s">
        <v>358</v>
      </c>
      <c r="J483" s="17" t="s">
        <v>143</v>
      </c>
      <c r="K483" s="17"/>
      <c r="L483" s="17"/>
      <c r="M483" s="16"/>
      <c r="N483" s="30"/>
    </row>
    <row r="484" spans="1:14" ht="48" x14ac:dyDescent="0.25">
      <c r="A484" s="19" t="s">
        <v>3111</v>
      </c>
      <c r="B484" s="17" t="s">
        <v>3110</v>
      </c>
      <c r="C484" s="20">
        <v>1</v>
      </c>
      <c r="D484" s="18">
        <v>59</v>
      </c>
      <c r="E484" s="20">
        <v>2360012</v>
      </c>
      <c r="F484" s="17" t="s">
        <v>70</v>
      </c>
      <c r="G484" s="19" t="s">
        <v>313</v>
      </c>
      <c r="H484" s="18">
        <v>9.6666666666666661</v>
      </c>
      <c r="I484" s="17" t="s">
        <v>80</v>
      </c>
      <c r="J484" s="17" t="s">
        <v>293</v>
      </c>
      <c r="K484" s="17"/>
      <c r="L484" s="17"/>
      <c r="M484" s="16"/>
      <c r="N484" s="30"/>
    </row>
    <row r="485" spans="1:14" ht="36" x14ac:dyDescent="0.25">
      <c r="A485" s="19" t="s">
        <v>3109</v>
      </c>
      <c r="B485" s="17" t="s">
        <v>3108</v>
      </c>
      <c r="C485" s="20">
        <v>1</v>
      </c>
      <c r="D485" s="18">
        <v>40</v>
      </c>
      <c r="E485" s="20" t="s">
        <v>3107</v>
      </c>
      <c r="F485" s="17" t="s">
        <v>282</v>
      </c>
      <c r="G485" s="19" t="s">
        <v>3106</v>
      </c>
      <c r="H485" s="18">
        <v>9.3333333333333339</v>
      </c>
      <c r="I485" s="17" t="s">
        <v>80</v>
      </c>
      <c r="J485" s="17" t="s">
        <v>187</v>
      </c>
      <c r="K485" s="17"/>
      <c r="L485" s="17"/>
      <c r="M485" s="16"/>
      <c r="N485" s="30"/>
    </row>
    <row r="486" spans="1:14" ht="48" x14ac:dyDescent="0.25">
      <c r="A486" s="19" t="s">
        <v>3105</v>
      </c>
      <c r="B486" s="17" t="s">
        <v>3104</v>
      </c>
      <c r="C486" s="20">
        <v>3</v>
      </c>
      <c r="D486" s="18">
        <v>59</v>
      </c>
      <c r="E486" s="20">
        <v>2331630</v>
      </c>
      <c r="F486" s="17" t="s">
        <v>91</v>
      </c>
      <c r="G486" s="19" t="s">
        <v>22</v>
      </c>
      <c r="H486" s="18">
        <v>9.3333333333333339</v>
      </c>
      <c r="I486" s="17" t="s">
        <v>80</v>
      </c>
      <c r="J486" s="17" t="s">
        <v>293</v>
      </c>
      <c r="K486" s="17"/>
      <c r="L486" s="17"/>
      <c r="M486" s="16"/>
      <c r="N486" s="30"/>
    </row>
    <row r="487" spans="1:14" ht="48" x14ac:dyDescent="0.25">
      <c r="A487" s="19" t="s">
        <v>3103</v>
      </c>
      <c r="B487" s="17" t="s">
        <v>3102</v>
      </c>
      <c r="C487" s="20">
        <v>1</v>
      </c>
      <c r="D487" s="18">
        <v>49.5</v>
      </c>
      <c r="E487" s="20" t="s">
        <v>3101</v>
      </c>
      <c r="F487" s="17" t="s">
        <v>206</v>
      </c>
      <c r="G487" s="19" t="s">
        <v>27</v>
      </c>
      <c r="H487" s="18">
        <v>9.32</v>
      </c>
      <c r="I487" s="17" t="s">
        <v>68</v>
      </c>
      <c r="J487" s="17" t="s">
        <v>67</v>
      </c>
      <c r="K487" s="17"/>
      <c r="L487" s="17"/>
      <c r="M487" s="16"/>
      <c r="N487" s="30"/>
    </row>
    <row r="488" spans="1:14" ht="48" x14ac:dyDescent="0.25">
      <c r="A488" s="19" t="s">
        <v>2434</v>
      </c>
      <c r="B488" s="17" t="s">
        <v>1623</v>
      </c>
      <c r="C488" s="20">
        <v>2</v>
      </c>
      <c r="D488" s="18">
        <v>49</v>
      </c>
      <c r="E488" s="20" t="s">
        <v>1622</v>
      </c>
      <c r="F488" s="17" t="s">
        <v>575</v>
      </c>
      <c r="G488" s="19" t="s">
        <v>62</v>
      </c>
      <c r="H488" s="18">
        <v>9.1466666666666683</v>
      </c>
      <c r="I488" s="17" t="s">
        <v>820</v>
      </c>
      <c r="J488" s="17" t="s">
        <v>67</v>
      </c>
      <c r="K488" s="17"/>
      <c r="L488" s="17"/>
      <c r="M488" s="16"/>
      <c r="N488" s="30"/>
    </row>
    <row r="489" spans="1:14" ht="48" x14ac:dyDescent="0.25">
      <c r="A489" s="19" t="s">
        <v>3100</v>
      </c>
      <c r="B489" s="17" t="s">
        <v>3099</v>
      </c>
      <c r="C489" s="20">
        <v>1</v>
      </c>
      <c r="D489" s="18">
        <v>34.299999999999997</v>
      </c>
      <c r="E489" s="20" t="s">
        <v>2564</v>
      </c>
      <c r="F489" s="17" t="s">
        <v>63</v>
      </c>
      <c r="G489" s="19" t="s">
        <v>57</v>
      </c>
      <c r="H489" s="18">
        <v>8.9466666666666672</v>
      </c>
      <c r="I489" s="17" t="s">
        <v>42</v>
      </c>
      <c r="J489" s="17" t="s">
        <v>41</v>
      </c>
      <c r="K489" s="17"/>
      <c r="L489" s="17"/>
      <c r="M489" s="16"/>
      <c r="N489" s="30"/>
    </row>
    <row r="490" spans="1:14" ht="48" x14ac:dyDescent="0.25">
      <c r="A490" s="19" t="s">
        <v>1621</v>
      </c>
      <c r="B490" s="17" t="s">
        <v>1620</v>
      </c>
      <c r="C490" s="20">
        <v>1</v>
      </c>
      <c r="D490" s="18">
        <v>34.299999999999997</v>
      </c>
      <c r="E490" s="20" t="s">
        <v>1617</v>
      </c>
      <c r="F490" s="17" t="s">
        <v>58</v>
      </c>
      <c r="G490" s="19" t="s">
        <v>69</v>
      </c>
      <c r="H490" s="18">
        <v>8.9466666666666672</v>
      </c>
      <c r="I490" s="17" t="s">
        <v>42</v>
      </c>
      <c r="J490" s="17" t="s">
        <v>41</v>
      </c>
      <c r="K490" s="17"/>
      <c r="L490" s="17"/>
      <c r="M490" s="16"/>
      <c r="N490" s="30"/>
    </row>
    <row r="491" spans="1:14" x14ac:dyDescent="0.25">
      <c r="A491" s="19" t="s">
        <v>3098</v>
      </c>
      <c r="B491" s="17" t="s">
        <v>3097</v>
      </c>
      <c r="C491" s="20">
        <v>1</v>
      </c>
      <c r="D491" s="18">
        <v>39</v>
      </c>
      <c r="E491" s="20" t="s">
        <v>3096</v>
      </c>
      <c r="F491" s="17" t="s">
        <v>1382</v>
      </c>
      <c r="G491" s="19" t="s">
        <v>50</v>
      </c>
      <c r="H491" s="18">
        <v>8.6066666666666674</v>
      </c>
      <c r="I491" s="17" t="s">
        <v>49</v>
      </c>
      <c r="J491" s="17" t="s">
        <v>48</v>
      </c>
      <c r="K491" s="17"/>
      <c r="L491" s="17"/>
      <c r="M491" s="16"/>
      <c r="N491" s="30"/>
    </row>
    <row r="492" spans="1:14" ht="60" x14ac:dyDescent="0.25">
      <c r="A492" s="19" t="s">
        <v>3095</v>
      </c>
      <c r="B492" s="17" t="s">
        <v>3094</v>
      </c>
      <c r="C492" s="20">
        <v>1</v>
      </c>
      <c r="D492" s="18">
        <v>48</v>
      </c>
      <c r="E492" s="20">
        <v>30090342</v>
      </c>
      <c r="F492" s="17" t="s">
        <v>28</v>
      </c>
      <c r="G492" s="19" t="s">
        <v>116</v>
      </c>
      <c r="H492" s="18">
        <v>8</v>
      </c>
      <c r="I492" s="17" t="s">
        <v>1777</v>
      </c>
      <c r="J492" s="17" t="s">
        <v>1776</v>
      </c>
      <c r="K492" s="17"/>
      <c r="L492" s="17"/>
      <c r="M492" s="16"/>
      <c r="N492" s="30"/>
    </row>
    <row r="493" spans="1:14" ht="36" x14ac:dyDescent="0.25">
      <c r="A493" s="19" t="s">
        <v>3093</v>
      </c>
      <c r="B493" s="17" t="s">
        <v>3092</v>
      </c>
      <c r="C493" s="20">
        <v>2</v>
      </c>
      <c r="D493" s="18">
        <v>35</v>
      </c>
      <c r="E493" s="20" t="s">
        <v>3091</v>
      </c>
      <c r="F493" s="17" t="s">
        <v>51</v>
      </c>
      <c r="G493" s="19" t="s">
        <v>3090</v>
      </c>
      <c r="H493" s="18">
        <v>8</v>
      </c>
      <c r="I493" s="17" t="s">
        <v>80</v>
      </c>
      <c r="J493" s="17" t="s">
        <v>187</v>
      </c>
      <c r="K493" s="17"/>
      <c r="L493" s="17"/>
      <c r="M493" s="16"/>
      <c r="N493" s="30"/>
    </row>
    <row r="494" spans="1:14" ht="48" x14ac:dyDescent="0.25">
      <c r="A494" s="19" t="s">
        <v>3089</v>
      </c>
      <c r="B494" s="17" t="s">
        <v>3088</v>
      </c>
      <c r="C494" s="20">
        <v>1</v>
      </c>
      <c r="D494" s="18">
        <v>39</v>
      </c>
      <c r="E494" s="20">
        <v>2321610</v>
      </c>
      <c r="F494" s="17" t="s">
        <v>28</v>
      </c>
      <c r="G494" s="19" t="s">
        <v>43</v>
      </c>
      <c r="H494" s="18">
        <v>8</v>
      </c>
      <c r="I494" s="17" t="s">
        <v>80</v>
      </c>
      <c r="J494" s="17" t="s">
        <v>293</v>
      </c>
      <c r="K494" s="17"/>
      <c r="L494" s="17"/>
      <c r="M494" s="16"/>
      <c r="N494" s="30"/>
    </row>
    <row r="495" spans="1:14" ht="60" x14ac:dyDescent="0.25">
      <c r="A495" s="19" t="s">
        <v>3087</v>
      </c>
      <c r="B495" s="17" t="s">
        <v>3086</v>
      </c>
      <c r="C495" s="20">
        <v>1</v>
      </c>
      <c r="D495" s="18">
        <v>40</v>
      </c>
      <c r="E495" s="20" t="s">
        <v>3085</v>
      </c>
      <c r="F495" s="17" t="s">
        <v>272</v>
      </c>
      <c r="G495" s="19" t="s">
        <v>197</v>
      </c>
      <c r="H495" s="18">
        <v>6.9333333333333336</v>
      </c>
      <c r="I495" s="17" t="s">
        <v>80</v>
      </c>
      <c r="J495" s="17" t="s">
        <v>79</v>
      </c>
      <c r="K495" s="17"/>
      <c r="L495" s="17"/>
      <c r="M495" s="16"/>
      <c r="N495" s="30"/>
    </row>
    <row r="496" spans="1:14" ht="48" x14ac:dyDescent="0.25">
      <c r="A496" s="19" t="s">
        <v>3084</v>
      </c>
      <c r="B496" s="17" t="s">
        <v>3083</v>
      </c>
      <c r="C496" s="20">
        <v>1</v>
      </c>
      <c r="D496" s="18">
        <v>69</v>
      </c>
      <c r="E496" s="20">
        <v>2360402</v>
      </c>
      <c r="F496" s="17" t="s">
        <v>28</v>
      </c>
      <c r="G496" s="19" t="s">
        <v>22</v>
      </c>
      <c r="H496" s="18">
        <v>6.666666666666667</v>
      </c>
      <c r="I496" s="17" t="s">
        <v>80</v>
      </c>
      <c r="J496" s="17" t="s">
        <v>293</v>
      </c>
      <c r="K496" s="17"/>
      <c r="L496" s="17"/>
      <c r="M496" s="16"/>
      <c r="N496" s="30"/>
    </row>
    <row r="497" spans="1:14" ht="36" x14ac:dyDescent="0.25">
      <c r="A497" s="19" t="s">
        <v>3082</v>
      </c>
      <c r="B497" s="17" t="s">
        <v>3081</v>
      </c>
      <c r="C497" s="20">
        <v>1</v>
      </c>
      <c r="D497" s="18">
        <v>25</v>
      </c>
      <c r="E497" s="20" t="s">
        <v>24</v>
      </c>
      <c r="F497" s="17" t="s">
        <v>23</v>
      </c>
      <c r="G497" s="19" t="s">
        <v>50</v>
      </c>
      <c r="H497" s="18">
        <v>3.82</v>
      </c>
      <c r="I497" s="17" t="s">
        <v>16</v>
      </c>
      <c r="J497" s="17" t="s">
        <v>15</v>
      </c>
      <c r="K497" s="17"/>
      <c r="L497" s="17"/>
      <c r="M497" s="16"/>
      <c r="N497" s="30"/>
    </row>
  </sheetData>
  <pageMargins left="0.5" right="0.5" top="0.25" bottom="0.25" header="0.3" footer="0.3"/>
  <pageSetup scale="65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67"/>
  <sheetViews>
    <sheetView workbookViewId="0">
      <selection activeCell="K2" sqref="K2"/>
    </sheetView>
  </sheetViews>
  <sheetFormatPr defaultRowHeight="15" x14ac:dyDescent="0.25"/>
  <cols>
    <col min="1" max="1" width="14.140625" style="15" bestFit="1" customWidth="1"/>
    <col min="2" max="2" width="58.140625" style="15" bestFit="1" customWidth="1"/>
    <col min="3" max="3" width="12.42578125" style="15" bestFit="1" customWidth="1"/>
    <col min="4" max="4" width="8.7109375" style="15" bestFit="1" customWidth="1"/>
    <col min="5" max="5" width="16.140625" style="15" bestFit="1" customWidth="1"/>
    <col min="6" max="6" width="13.28515625" style="15" bestFit="1" customWidth="1"/>
    <col min="7" max="7" width="10.28515625" style="15" customWidth="1"/>
    <col min="8" max="8" width="11.7109375" style="15" bestFit="1" customWidth="1"/>
    <col min="9" max="11" width="11.42578125" style="15" customWidth="1"/>
    <col min="12" max="12" width="7.42578125" style="15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4" ht="36" x14ac:dyDescent="0.25">
      <c r="A1" s="41" t="s">
        <v>2</v>
      </c>
      <c r="B1" s="41" t="s">
        <v>3</v>
      </c>
      <c r="C1" s="41" t="s">
        <v>5</v>
      </c>
      <c r="D1" s="41" t="s">
        <v>817</v>
      </c>
      <c r="E1" s="41" t="s">
        <v>7</v>
      </c>
      <c r="F1" s="41" t="s">
        <v>816</v>
      </c>
      <c r="G1" s="41" t="s">
        <v>815</v>
      </c>
      <c r="H1" s="41" t="s">
        <v>814</v>
      </c>
      <c r="I1" s="41" t="s">
        <v>10</v>
      </c>
      <c r="J1" s="41"/>
      <c r="K1" s="41"/>
    </row>
    <row r="2" spans="1:14" ht="36" x14ac:dyDescent="0.25">
      <c r="A2" s="17" t="s">
        <v>14</v>
      </c>
      <c r="B2" s="20">
        <v>13966390</v>
      </c>
      <c r="C2" s="17" t="s">
        <v>11</v>
      </c>
      <c r="D2" s="17" t="s">
        <v>813</v>
      </c>
      <c r="E2" s="20">
        <v>1</v>
      </c>
      <c r="F2" s="20">
        <v>4</v>
      </c>
      <c r="G2" s="17">
        <v>530</v>
      </c>
      <c r="H2" s="18">
        <v>65899.44</v>
      </c>
      <c r="I2" s="17">
        <v>851</v>
      </c>
      <c r="J2" s="33"/>
      <c r="K2" s="33"/>
      <c r="L2" s="30"/>
      <c r="M2" s="30"/>
    </row>
    <row r="3" spans="1:14" x14ac:dyDescent="0.25">
      <c r="A3" s="23"/>
      <c r="B3" s="25"/>
      <c r="C3" s="25"/>
      <c r="D3" s="23"/>
      <c r="E3" s="23"/>
      <c r="F3" s="23"/>
      <c r="G3" s="25"/>
      <c r="H3" s="25"/>
      <c r="I3" s="23"/>
      <c r="J3" s="22"/>
      <c r="K3" s="22"/>
      <c r="L3" s="23"/>
      <c r="M3" s="22"/>
      <c r="N3" s="22"/>
    </row>
    <row r="4" spans="1:14" s="21" customFormat="1" x14ac:dyDescent="0.25"/>
    <row r="5" spans="1:14" x14ac:dyDescent="0.25">
      <c r="A5" s="1"/>
      <c r="B5" s="1"/>
      <c r="C5" s="1"/>
      <c r="D5" s="1"/>
    </row>
    <row r="6" spans="1:14" x14ac:dyDescent="0.25">
      <c r="A6" s="24"/>
      <c r="B6" s="23"/>
      <c r="C6" s="22"/>
      <c r="D6" s="22"/>
    </row>
    <row r="7" spans="1:14" s="21" customFormat="1" x14ac:dyDescent="0.25"/>
    <row r="8" spans="1:14" ht="36" x14ac:dyDescent="0.25">
      <c r="A8" s="41" t="s">
        <v>812</v>
      </c>
      <c r="B8" s="41" t="s">
        <v>811</v>
      </c>
      <c r="C8" s="41" t="s">
        <v>810</v>
      </c>
      <c r="D8" s="41" t="s">
        <v>9</v>
      </c>
      <c r="E8" s="41" t="s">
        <v>809</v>
      </c>
      <c r="F8" s="41" t="s">
        <v>808</v>
      </c>
      <c r="G8" s="41" t="s">
        <v>807</v>
      </c>
      <c r="H8" s="41" t="s">
        <v>806</v>
      </c>
      <c r="I8" s="41" t="s">
        <v>805</v>
      </c>
      <c r="J8" s="41" t="s">
        <v>804</v>
      </c>
      <c r="K8" s="41" t="s">
        <v>803</v>
      </c>
      <c r="L8" s="41" t="s">
        <v>802</v>
      </c>
      <c r="M8" s="41" t="s">
        <v>801</v>
      </c>
    </row>
    <row r="9" spans="1:14" ht="60" x14ac:dyDescent="0.25">
      <c r="A9" s="19" t="s">
        <v>4813</v>
      </c>
      <c r="B9" s="17" t="s">
        <v>4812</v>
      </c>
      <c r="C9" s="20">
        <v>1</v>
      </c>
      <c r="D9" s="18">
        <v>265</v>
      </c>
      <c r="E9" s="20">
        <v>536602196000180</v>
      </c>
      <c r="F9" s="17" t="s">
        <v>44</v>
      </c>
      <c r="G9" s="19" t="s">
        <v>27</v>
      </c>
      <c r="H9" s="18">
        <v>73.333333333333343</v>
      </c>
      <c r="I9" s="17" t="s">
        <v>158</v>
      </c>
      <c r="J9" s="17" t="s">
        <v>157</v>
      </c>
      <c r="K9" s="17"/>
      <c r="L9" s="17"/>
      <c r="M9" s="16" t="str">
        <f>HYPERLINK("http://slimages.macys.com/is/image/MCY/19224182 ")</f>
        <v xml:space="preserve">http://slimages.macys.com/is/image/MCY/19224182 </v>
      </c>
      <c r="N9" s="30"/>
    </row>
    <row r="10" spans="1:14" ht="60" x14ac:dyDescent="0.25">
      <c r="A10" s="19" t="s">
        <v>2355</v>
      </c>
      <c r="B10" s="17" t="s">
        <v>2354</v>
      </c>
      <c r="C10" s="20">
        <v>1</v>
      </c>
      <c r="D10" s="18">
        <v>235</v>
      </c>
      <c r="E10" s="20" t="s">
        <v>1570</v>
      </c>
      <c r="F10" s="17" t="s">
        <v>23</v>
      </c>
      <c r="G10" s="19" t="s">
        <v>197</v>
      </c>
      <c r="H10" s="18">
        <v>64.2</v>
      </c>
      <c r="I10" s="17" t="s">
        <v>133</v>
      </c>
      <c r="J10" s="17" t="s">
        <v>953</v>
      </c>
      <c r="K10" s="17"/>
      <c r="L10" s="17"/>
      <c r="M10" s="16" t="str">
        <f>HYPERLINK("http://slimages.macys.com/is/image/MCY/19769124 ")</f>
        <v xml:space="preserve">http://slimages.macys.com/is/image/MCY/19769124 </v>
      </c>
      <c r="N10" s="30"/>
    </row>
    <row r="11" spans="1:14" ht="60" x14ac:dyDescent="0.25">
      <c r="A11" s="19" t="s">
        <v>4811</v>
      </c>
      <c r="B11" s="17" t="s">
        <v>4810</v>
      </c>
      <c r="C11" s="20">
        <v>1</v>
      </c>
      <c r="D11" s="18">
        <v>200</v>
      </c>
      <c r="E11" s="20" t="s">
        <v>4809</v>
      </c>
      <c r="F11" s="17" t="s">
        <v>575</v>
      </c>
      <c r="G11" s="19" t="s">
        <v>116</v>
      </c>
      <c r="H11" s="18">
        <v>60.666666666666664</v>
      </c>
      <c r="I11" s="17" t="s">
        <v>481</v>
      </c>
      <c r="J11" s="17" t="s">
        <v>1500</v>
      </c>
      <c r="K11" s="17"/>
      <c r="L11" s="17"/>
      <c r="M11" s="16" t="str">
        <f>HYPERLINK("http://slimages.macys.com/is/image/MCY/18683494 ")</f>
        <v xml:space="preserve">http://slimages.macys.com/is/image/MCY/18683494 </v>
      </c>
      <c r="N11" s="30"/>
    </row>
    <row r="12" spans="1:14" ht="60" x14ac:dyDescent="0.25">
      <c r="A12" s="19" t="s">
        <v>4808</v>
      </c>
      <c r="B12" s="17" t="s">
        <v>4807</v>
      </c>
      <c r="C12" s="20">
        <v>1</v>
      </c>
      <c r="D12" s="18">
        <v>168</v>
      </c>
      <c r="E12" s="20" t="s">
        <v>4806</v>
      </c>
      <c r="F12" s="17" t="s">
        <v>164</v>
      </c>
      <c r="G12" s="19" t="s">
        <v>57</v>
      </c>
      <c r="H12" s="18">
        <v>52.56666666666667</v>
      </c>
      <c r="I12" s="17" t="s">
        <v>153</v>
      </c>
      <c r="J12" s="17" t="s">
        <v>153</v>
      </c>
      <c r="K12" s="17"/>
      <c r="L12" s="17"/>
      <c r="M12" s="16" t="str">
        <f>HYPERLINK("http://slimages.macys.com/is/image/MCY/18010065 ")</f>
        <v xml:space="preserve">http://slimages.macys.com/is/image/MCY/18010065 </v>
      </c>
      <c r="N12" s="30"/>
    </row>
    <row r="13" spans="1:14" ht="60" x14ac:dyDescent="0.25">
      <c r="A13" s="19" t="s">
        <v>4805</v>
      </c>
      <c r="B13" s="17" t="s">
        <v>4804</v>
      </c>
      <c r="C13" s="20">
        <v>1</v>
      </c>
      <c r="D13" s="18">
        <v>178</v>
      </c>
      <c r="E13" s="20" t="s">
        <v>3213</v>
      </c>
      <c r="F13" s="17" t="s">
        <v>51</v>
      </c>
      <c r="G13" s="19" t="s">
        <v>3053</v>
      </c>
      <c r="H13" s="18">
        <v>51.04</v>
      </c>
      <c r="I13" s="17" t="s">
        <v>756</v>
      </c>
      <c r="J13" s="17" t="s">
        <v>153</v>
      </c>
      <c r="K13" s="17"/>
      <c r="L13" s="17"/>
      <c r="M13" s="16" t="str">
        <f>HYPERLINK("http://slimages.macys.com/is/image/MCY/19192405 ")</f>
        <v xml:space="preserve">http://slimages.macys.com/is/image/MCY/19192405 </v>
      </c>
      <c r="N13" s="30"/>
    </row>
    <row r="14" spans="1:14" ht="60" x14ac:dyDescent="0.25">
      <c r="A14" s="19" t="s">
        <v>4803</v>
      </c>
      <c r="B14" s="17" t="s">
        <v>4802</v>
      </c>
      <c r="C14" s="20">
        <v>1</v>
      </c>
      <c r="D14" s="18">
        <v>168</v>
      </c>
      <c r="E14" s="20" t="s">
        <v>4801</v>
      </c>
      <c r="F14" s="17" t="s">
        <v>51</v>
      </c>
      <c r="G14" s="19" t="s">
        <v>694</v>
      </c>
      <c r="H14" s="18">
        <v>50.666666666666664</v>
      </c>
      <c r="I14" s="17" t="s">
        <v>148</v>
      </c>
      <c r="J14" s="17" t="s">
        <v>3216</v>
      </c>
      <c r="K14" s="17"/>
      <c r="L14" s="17"/>
      <c r="M14" s="16" t="str">
        <f>HYPERLINK("http://slimages.macys.com/is/image/MCY/18820180 ")</f>
        <v xml:space="preserve">http://slimages.macys.com/is/image/MCY/18820180 </v>
      </c>
      <c r="N14" s="30"/>
    </row>
    <row r="15" spans="1:14" ht="60" x14ac:dyDescent="0.25">
      <c r="A15" s="19" t="s">
        <v>4800</v>
      </c>
      <c r="B15" s="17" t="s">
        <v>4799</v>
      </c>
      <c r="C15" s="20">
        <v>7</v>
      </c>
      <c r="D15" s="18">
        <v>168</v>
      </c>
      <c r="E15" s="20" t="s">
        <v>3054</v>
      </c>
      <c r="F15" s="17" t="s">
        <v>51</v>
      </c>
      <c r="G15" s="19" t="s">
        <v>757</v>
      </c>
      <c r="H15" s="18">
        <v>48.14</v>
      </c>
      <c r="I15" s="17" t="s">
        <v>756</v>
      </c>
      <c r="J15" s="17" t="s">
        <v>153</v>
      </c>
      <c r="K15" s="17"/>
      <c r="L15" s="17"/>
      <c r="M15" s="16" t="str">
        <f>HYPERLINK("http://slimages.macys.com/is/image/MCY/18996672 ")</f>
        <v xml:space="preserve">http://slimages.macys.com/is/image/MCY/18996672 </v>
      </c>
      <c r="N15" s="30"/>
    </row>
    <row r="16" spans="1:14" ht="120" x14ac:dyDescent="0.25">
      <c r="A16" s="19" t="s">
        <v>4798</v>
      </c>
      <c r="B16" s="17" t="s">
        <v>4797</v>
      </c>
      <c r="C16" s="20">
        <v>1</v>
      </c>
      <c r="D16" s="18">
        <v>178</v>
      </c>
      <c r="E16" s="20" t="s">
        <v>4796</v>
      </c>
      <c r="F16" s="17" t="s">
        <v>28</v>
      </c>
      <c r="G16" s="19" t="s">
        <v>419</v>
      </c>
      <c r="H16" s="18">
        <v>48</v>
      </c>
      <c r="I16" s="17" t="s">
        <v>148</v>
      </c>
      <c r="J16" s="17" t="s">
        <v>147</v>
      </c>
      <c r="K16" s="17" t="s">
        <v>771</v>
      </c>
      <c r="L16" s="17" t="s">
        <v>4795</v>
      </c>
      <c r="M16" s="16" t="str">
        <f>HYPERLINK("http://images.bloomingdales.com/is/image/BLM/11307001 ")</f>
        <v xml:space="preserve">http://images.bloomingdales.com/is/image/BLM/11307001 </v>
      </c>
      <c r="N16" s="30"/>
    </row>
    <row r="17" spans="1:14" ht="60" x14ac:dyDescent="0.25">
      <c r="A17" s="19" t="s">
        <v>4794</v>
      </c>
      <c r="B17" s="17" t="s">
        <v>4793</v>
      </c>
      <c r="C17" s="20">
        <v>1</v>
      </c>
      <c r="D17" s="18">
        <v>140</v>
      </c>
      <c r="E17" s="20" t="s">
        <v>4792</v>
      </c>
      <c r="F17" s="17" t="s">
        <v>23</v>
      </c>
      <c r="G17" s="19" t="s">
        <v>62</v>
      </c>
      <c r="H17" s="18">
        <v>46.666666666666671</v>
      </c>
      <c r="I17" s="17" t="s">
        <v>133</v>
      </c>
      <c r="J17" s="17" t="s">
        <v>1530</v>
      </c>
      <c r="K17" s="17"/>
      <c r="L17" s="17"/>
      <c r="M17" s="16" t="str">
        <f>HYPERLINK("http://slimages.macys.com/is/image/MCY/19545382 ")</f>
        <v xml:space="preserve">http://slimages.macys.com/is/image/MCY/19545382 </v>
      </c>
      <c r="N17" s="30"/>
    </row>
    <row r="18" spans="1:14" ht="60" x14ac:dyDescent="0.25">
      <c r="A18" s="19" t="s">
        <v>4791</v>
      </c>
      <c r="B18" s="17" t="s">
        <v>4790</v>
      </c>
      <c r="C18" s="20">
        <v>1</v>
      </c>
      <c r="D18" s="18">
        <v>125</v>
      </c>
      <c r="E18" s="20" t="s">
        <v>1483</v>
      </c>
      <c r="F18" s="17" t="s">
        <v>1486</v>
      </c>
      <c r="G18" s="19" t="s">
        <v>197</v>
      </c>
      <c r="H18" s="18">
        <v>34.200000000000003</v>
      </c>
      <c r="I18" s="17" t="s">
        <v>133</v>
      </c>
      <c r="J18" s="17" t="s">
        <v>953</v>
      </c>
      <c r="K18" s="17"/>
      <c r="L18" s="17"/>
      <c r="M18" s="16" t="str">
        <f>HYPERLINK("http://slimages.macys.com/is/image/MCY/19449331 ")</f>
        <v xml:space="preserve">http://slimages.macys.com/is/image/MCY/19449331 </v>
      </c>
      <c r="N18" s="30"/>
    </row>
    <row r="19" spans="1:14" ht="60" x14ac:dyDescent="0.25">
      <c r="A19" s="19" t="s">
        <v>4789</v>
      </c>
      <c r="B19" s="17" t="s">
        <v>4788</v>
      </c>
      <c r="C19" s="20">
        <v>1</v>
      </c>
      <c r="D19" s="18">
        <v>125</v>
      </c>
      <c r="E19" s="20" t="s">
        <v>1483</v>
      </c>
      <c r="F19" s="17" t="s">
        <v>75</v>
      </c>
      <c r="G19" s="19" t="s">
        <v>197</v>
      </c>
      <c r="H19" s="18">
        <v>34.200000000000003</v>
      </c>
      <c r="I19" s="17" t="s">
        <v>133</v>
      </c>
      <c r="J19" s="17" t="s">
        <v>953</v>
      </c>
      <c r="K19" s="17"/>
      <c r="L19" s="17"/>
      <c r="M19" s="16" t="str">
        <f>HYPERLINK("http://slimages.macys.com/is/image/MCY/19449331 ")</f>
        <v xml:space="preserve">http://slimages.macys.com/is/image/MCY/19449331 </v>
      </c>
      <c r="N19" s="30"/>
    </row>
    <row r="20" spans="1:14" ht="60" x14ac:dyDescent="0.25">
      <c r="A20" s="19" t="s">
        <v>4787</v>
      </c>
      <c r="B20" s="17" t="s">
        <v>4786</v>
      </c>
      <c r="C20" s="20">
        <v>1</v>
      </c>
      <c r="D20" s="18">
        <v>118</v>
      </c>
      <c r="E20" s="20" t="s">
        <v>4785</v>
      </c>
      <c r="F20" s="17" t="s">
        <v>23</v>
      </c>
      <c r="G20" s="19" t="s">
        <v>2295</v>
      </c>
      <c r="H20" s="18">
        <v>33.64</v>
      </c>
      <c r="I20" s="17" t="s">
        <v>756</v>
      </c>
      <c r="J20" s="17" t="s">
        <v>153</v>
      </c>
      <c r="K20" s="17"/>
      <c r="L20" s="17"/>
      <c r="M20" s="16" t="str">
        <f>HYPERLINK("http://slimages.macys.com/is/image/MCY/20209608 ")</f>
        <v xml:space="preserve">http://slimages.macys.com/is/image/MCY/20209608 </v>
      </c>
      <c r="N20" s="30"/>
    </row>
    <row r="21" spans="1:14" ht="60" x14ac:dyDescent="0.25">
      <c r="A21" s="19" t="s">
        <v>4784</v>
      </c>
      <c r="B21" s="17" t="s">
        <v>4783</v>
      </c>
      <c r="C21" s="20">
        <v>1</v>
      </c>
      <c r="D21" s="18">
        <v>148</v>
      </c>
      <c r="E21" s="20" t="s">
        <v>4782</v>
      </c>
      <c r="F21" s="17"/>
      <c r="G21" s="19"/>
      <c r="H21" s="18">
        <v>32.660000000000004</v>
      </c>
      <c r="I21" s="17" t="s">
        <v>49</v>
      </c>
      <c r="J21" s="17" t="s">
        <v>48</v>
      </c>
      <c r="K21" s="17"/>
      <c r="L21" s="17"/>
      <c r="M21" s="16" t="str">
        <f>HYPERLINK("http://slimages.macys.com/is/image/MCY/19565101 ")</f>
        <v xml:space="preserve">http://slimages.macys.com/is/image/MCY/19565101 </v>
      </c>
      <c r="N21" s="30"/>
    </row>
    <row r="22" spans="1:14" ht="60" x14ac:dyDescent="0.25">
      <c r="A22" s="19" t="s">
        <v>4781</v>
      </c>
      <c r="B22" s="17" t="s">
        <v>4780</v>
      </c>
      <c r="C22" s="20">
        <v>1</v>
      </c>
      <c r="D22" s="18">
        <v>148</v>
      </c>
      <c r="E22" s="20" t="s">
        <v>4061</v>
      </c>
      <c r="F22" s="17" t="s">
        <v>63</v>
      </c>
      <c r="G22" s="19" t="s">
        <v>857</v>
      </c>
      <c r="H22" s="18">
        <v>32.660000000000004</v>
      </c>
      <c r="I22" s="17" t="s">
        <v>49</v>
      </c>
      <c r="J22" s="17" t="s">
        <v>48</v>
      </c>
      <c r="K22" s="17"/>
      <c r="L22" s="17"/>
      <c r="M22" s="16" t="str">
        <f>HYPERLINK("http://slimages.macys.com/is/image/MCY/19358879 ")</f>
        <v xml:space="preserve">http://slimages.macys.com/is/image/MCY/19358879 </v>
      </c>
      <c r="N22" s="30"/>
    </row>
    <row r="23" spans="1:14" ht="60" x14ac:dyDescent="0.25">
      <c r="A23" s="19" t="s">
        <v>4779</v>
      </c>
      <c r="B23" s="17" t="s">
        <v>4778</v>
      </c>
      <c r="C23" s="20">
        <v>1</v>
      </c>
      <c r="D23" s="18">
        <v>139</v>
      </c>
      <c r="E23" s="20">
        <v>7069904</v>
      </c>
      <c r="F23" s="17" t="s">
        <v>63</v>
      </c>
      <c r="G23" s="19" t="s">
        <v>22</v>
      </c>
      <c r="H23" s="18">
        <v>32.433333333333337</v>
      </c>
      <c r="I23" s="17" t="s">
        <v>111</v>
      </c>
      <c r="J23" s="17" t="s">
        <v>110</v>
      </c>
      <c r="K23" s="17" t="s">
        <v>389</v>
      </c>
      <c r="L23" s="17" t="s">
        <v>4777</v>
      </c>
      <c r="M23" s="16" t="str">
        <f>HYPERLINK("http://slimages.macys.com/is/image/MCY/15666123 ")</f>
        <v xml:space="preserve">http://slimages.macys.com/is/image/MCY/15666123 </v>
      </c>
      <c r="N23" s="30"/>
    </row>
    <row r="24" spans="1:14" ht="60" x14ac:dyDescent="0.25">
      <c r="A24" s="19" t="s">
        <v>4776</v>
      </c>
      <c r="B24" s="17" t="s">
        <v>4775</v>
      </c>
      <c r="C24" s="20">
        <v>2</v>
      </c>
      <c r="D24" s="18">
        <v>159</v>
      </c>
      <c r="E24" s="20" t="s">
        <v>4774</v>
      </c>
      <c r="F24" s="17" t="s">
        <v>508</v>
      </c>
      <c r="G24" s="19" t="s">
        <v>857</v>
      </c>
      <c r="H24" s="18">
        <v>31.799999999999997</v>
      </c>
      <c r="I24" s="17" t="s">
        <v>144</v>
      </c>
      <c r="J24" s="17" t="s">
        <v>496</v>
      </c>
      <c r="K24" s="17"/>
      <c r="L24" s="17"/>
      <c r="M24" s="16" t="str">
        <f>HYPERLINK("http://slimages.macys.com/is/image/MCY/18650994 ")</f>
        <v xml:space="preserve">http://slimages.macys.com/is/image/MCY/18650994 </v>
      </c>
      <c r="N24" s="30"/>
    </row>
    <row r="25" spans="1:14" ht="60" x14ac:dyDescent="0.25">
      <c r="A25" s="19" t="s">
        <v>4773</v>
      </c>
      <c r="B25" s="17" t="s">
        <v>4772</v>
      </c>
      <c r="C25" s="20">
        <v>1</v>
      </c>
      <c r="D25" s="18">
        <v>118</v>
      </c>
      <c r="E25" s="20" t="s">
        <v>4771</v>
      </c>
      <c r="F25" s="17" t="s">
        <v>508</v>
      </c>
      <c r="G25" s="19" t="s">
        <v>4770</v>
      </c>
      <c r="H25" s="18">
        <v>31.466666666666665</v>
      </c>
      <c r="I25" s="17" t="s">
        <v>148</v>
      </c>
      <c r="J25" s="17" t="s">
        <v>2093</v>
      </c>
      <c r="K25" s="17"/>
      <c r="L25" s="17"/>
      <c r="M25" s="16" t="str">
        <f>HYPERLINK("http://slimages.macys.com/is/image/MCY/19146996 ")</f>
        <v xml:space="preserve">http://slimages.macys.com/is/image/MCY/19146996 </v>
      </c>
      <c r="N25" s="30"/>
    </row>
    <row r="26" spans="1:14" ht="60" x14ac:dyDescent="0.25">
      <c r="A26" s="19" t="s">
        <v>4769</v>
      </c>
      <c r="B26" s="17" t="s">
        <v>4768</v>
      </c>
      <c r="C26" s="20">
        <v>1</v>
      </c>
      <c r="D26" s="18">
        <v>169</v>
      </c>
      <c r="E26" s="20" t="s">
        <v>4767</v>
      </c>
      <c r="F26" s="17" t="s">
        <v>237</v>
      </c>
      <c r="G26" s="19" t="s">
        <v>62</v>
      </c>
      <c r="H26" s="18">
        <v>31.206666666666667</v>
      </c>
      <c r="I26" s="17" t="s">
        <v>405</v>
      </c>
      <c r="J26" s="17" t="s">
        <v>404</v>
      </c>
      <c r="K26" s="17"/>
      <c r="L26" s="17"/>
      <c r="M26" s="16" t="str">
        <f>HYPERLINK("http://slimages.macys.com/is/image/MCY/19217767 ")</f>
        <v xml:space="preserve">http://slimages.macys.com/is/image/MCY/19217767 </v>
      </c>
      <c r="N26" s="30"/>
    </row>
    <row r="27" spans="1:14" ht="60" x14ac:dyDescent="0.25">
      <c r="A27" s="19" t="s">
        <v>4766</v>
      </c>
      <c r="B27" s="17" t="s">
        <v>4765</v>
      </c>
      <c r="C27" s="20">
        <v>1</v>
      </c>
      <c r="D27" s="18">
        <v>109.99</v>
      </c>
      <c r="E27" s="20">
        <v>50039659</v>
      </c>
      <c r="F27" s="17" t="s">
        <v>28</v>
      </c>
      <c r="G27" s="19" t="s">
        <v>698</v>
      </c>
      <c r="H27" s="18">
        <v>30.666666666666664</v>
      </c>
      <c r="I27" s="17" t="s">
        <v>854</v>
      </c>
      <c r="J27" s="17" t="s">
        <v>850</v>
      </c>
      <c r="K27" s="17"/>
      <c r="L27" s="17"/>
      <c r="M27" s="16" t="str">
        <f>HYPERLINK("http://slimages.macys.com/is/image/MCY/18703354 ")</f>
        <v xml:space="preserve">http://slimages.macys.com/is/image/MCY/18703354 </v>
      </c>
      <c r="N27" s="30"/>
    </row>
    <row r="28" spans="1:14" ht="60" x14ac:dyDescent="0.25">
      <c r="A28" s="19" t="s">
        <v>4764</v>
      </c>
      <c r="B28" s="17" t="s">
        <v>4763</v>
      </c>
      <c r="C28" s="20">
        <v>1</v>
      </c>
      <c r="D28" s="18">
        <v>109.99</v>
      </c>
      <c r="E28" s="20">
        <v>50039399</v>
      </c>
      <c r="F28" s="17" t="s">
        <v>1526</v>
      </c>
      <c r="G28" s="19" t="s">
        <v>658</v>
      </c>
      <c r="H28" s="18">
        <v>30.666666666666664</v>
      </c>
      <c r="I28" s="17" t="s">
        <v>854</v>
      </c>
      <c r="J28" s="17" t="s">
        <v>850</v>
      </c>
      <c r="K28" s="17"/>
      <c r="L28" s="17"/>
      <c r="M28" s="16" t="str">
        <f>HYPERLINK("http://slimages.macys.com/is/image/MCY/17968713 ")</f>
        <v xml:space="preserve">http://slimages.macys.com/is/image/MCY/17968713 </v>
      </c>
      <c r="N28" s="30"/>
    </row>
    <row r="29" spans="1:14" ht="60" x14ac:dyDescent="0.25">
      <c r="A29" s="19" t="s">
        <v>4762</v>
      </c>
      <c r="B29" s="17" t="s">
        <v>4761</v>
      </c>
      <c r="C29" s="20">
        <v>1</v>
      </c>
      <c r="D29" s="18">
        <v>128</v>
      </c>
      <c r="E29" s="20" t="s">
        <v>4760</v>
      </c>
      <c r="F29" s="17" t="s">
        <v>726</v>
      </c>
      <c r="G29" s="19" t="s">
        <v>57</v>
      </c>
      <c r="H29" s="18">
        <v>30.6</v>
      </c>
      <c r="I29" s="17" t="s">
        <v>133</v>
      </c>
      <c r="J29" s="17" t="s">
        <v>132</v>
      </c>
      <c r="K29" s="17"/>
      <c r="L29" s="17"/>
      <c r="M29" s="16" t="str">
        <f>HYPERLINK("http://slimages.macys.com/is/image/MCY/19457547 ")</f>
        <v xml:space="preserve">http://slimages.macys.com/is/image/MCY/19457547 </v>
      </c>
      <c r="N29" s="30"/>
    </row>
    <row r="30" spans="1:14" ht="96" x14ac:dyDescent="0.25">
      <c r="A30" s="19" t="s">
        <v>4759</v>
      </c>
      <c r="B30" s="17" t="s">
        <v>4758</v>
      </c>
      <c r="C30" s="20">
        <v>2</v>
      </c>
      <c r="D30" s="18">
        <v>99</v>
      </c>
      <c r="E30" s="20" t="s">
        <v>774</v>
      </c>
      <c r="F30" s="17" t="s">
        <v>58</v>
      </c>
      <c r="G30" s="19" t="s">
        <v>698</v>
      </c>
      <c r="H30" s="18">
        <v>30</v>
      </c>
      <c r="I30" s="17" t="s">
        <v>148</v>
      </c>
      <c r="J30" s="17" t="s">
        <v>772</v>
      </c>
      <c r="K30" s="17" t="s">
        <v>771</v>
      </c>
      <c r="L30" s="17" t="s">
        <v>770</v>
      </c>
      <c r="M30" s="16" t="str">
        <f>HYPERLINK("http://images.bloomingdales.com/is/image/BLM/11387933 ")</f>
        <v xml:space="preserve">http://images.bloomingdales.com/is/image/BLM/11387933 </v>
      </c>
      <c r="N30" s="30"/>
    </row>
    <row r="31" spans="1:14" ht="60" x14ac:dyDescent="0.25">
      <c r="A31" s="19" t="s">
        <v>4757</v>
      </c>
      <c r="B31" s="17" t="s">
        <v>4756</v>
      </c>
      <c r="C31" s="20">
        <v>1</v>
      </c>
      <c r="D31" s="18">
        <v>149</v>
      </c>
      <c r="E31" s="20" t="s">
        <v>4755</v>
      </c>
      <c r="F31" s="17" t="s">
        <v>51</v>
      </c>
      <c r="G31" s="19" t="s">
        <v>857</v>
      </c>
      <c r="H31" s="18">
        <v>29.8</v>
      </c>
      <c r="I31" s="17" t="s">
        <v>144</v>
      </c>
      <c r="J31" s="17" t="s">
        <v>496</v>
      </c>
      <c r="K31" s="17"/>
      <c r="L31" s="17"/>
      <c r="M31" s="16" t="str">
        <f>HYPERLINK("http://slimages.macys.com/is/image/MCY/19447787 ")</f>
        <v xml:space="preserve">http://slimages.macys.com/is/image/MCY/19447787 </v>
      </c>
      <c r="N31" s="30"/>
    </row>
    <row r="32" spans="1:14" ht="60" x14ac:dyDescent="0.25">
      <c r="A32" s="19" t="s">
        <v>1458</v>
      </c>
      <c r="B32" s="17" t="s">
        <v>1457</v>
      </c>
      <c r="C32" s="20">
        <v>1</v>
      </c>
      <c r="D32" s="18">
        <v>128</v>
      </c>
      <c r="E32" s="20" t="s">
        <v>1452</v>
      </c>
      <c r="F32" s="17" t="s">
        <v>58</v>
      </c>
      <c r="G32" s="19" t="s">
        <v>69</v>
      </c>
      <c r="H32" s="18">
        <v>29.333333333333336</v>
      </c>
      <c r="I32" s="17" t="s">
        <v>133</v>
      </c>
      <c r="J32" s="17" t="s">
        <v>833</v>
      </c>
      <c r="K32" s="17"/>
      <c r="L32" s="17"/>
      <c r="M32" s="16" t="str">
        <f>HYPERLINK("http://slimages.macys.com/is/image/MCY/19305261 ")</f>
        <v xml:space="preserve">http://slimages.macys.com/is/image/MCY/19305261 </v>
      </c>
      <c r="N32" s="30"/>
    </row>
    <row r="33" spans="1:14" ht="60" x14ac:dyDescent="0.25">
      <c r="A33" s="19" t="s">
        <v>4754</v>
      </c>
      <c r="B33" s="17" t="s">
        <v>4753</v>
      </c>
      <c r="C33" s="20">
        <v>1</v>
      </c>
      <c r="D33" s="18">
        <v>128</v>
      </c>
      <c r="E33" s="20" t="s">
        <v>4752</v>
      </c>
      <c r="F33" s="17" t="s">
        <v>216</v>
      </c>
      <c r="G33" s="19" t="s">
        <v>17</v>
      </c>
      <c r="H33" s="18">
        <v>28.24666666666667</v>
      </c>
      <c r="I33" s="17" t="s">
        <v>49</v>
      </c>
      <c r="J33" s="17" t="s">
        <v>48</v>
      </c>
      <c r="K33" s="17"/>
      <c r="L33" s="17"/>
      <c r="M33" s="16" t="str">
        <f>HYPERLINK("http://slimages.macys.com/is/image/MCY/19192537 ")</f>
        <v xml:space="preserve">http://slimages.macys.com/is/image/MCY/19192537 </v>
      </c>
      <c r="N33" s="30"/>
    </row>
    <row r="34" spans="1:14" ht="60" x14ac:dyDescent="0.25">
      <c r="A34" s="19" t="s">
        <v>4751</v>
      </c>
      <c r="B34" s="17" t="s">
        <v>4750</v>
      </c>
      <c r="C34" s="20">
        <v>1</v>
      </c>
      <c r="D34" s="18">
        <v>128</v>
      </c>
      <c r="E34" s="20" t="s">
        <v>761</v>
      </c>
      <c r="F34" s="17" t="s">
        <v>23</v>
      </c>
      <c r="G34" s="19" t="s">
        <v>17</v>
      </c>
      <c r="H34" s="18">
        <v>28.24666666666667</v>
      </c>
      <c r="I34" s="17" t="s">
        <v>49</v>
      </c>
      <c r="J34" s="17" t="s">
        <v>48</v>
      </c>
      <c r="K34" s="17"/>
      <c r="L34" s="17"/>
      <c r="M34" s="16" t="str">
        <f>HYPERLINK("http://slimages.macys.com/is/image/MCY/19357129 ")</f>
        <v xml:space="preserve">http://slimages.macys.com/is/image/MCY/19357129 </v>
      </c>
      <c r="N34" s="30"/>
    </row>
    <row r="35" spans="1:14" ht="60" x14ac:dyDescent="0.25">
      <c r="A35" s="19" t="s">
        <v>4749</v>
      </c>
      <c r="B35" s="17" t="s">
        <v>4748</v>
      </c>
      <c r="C35" s="20">
        <v>1</v>
      </c>
      <c r="D35" s="18">
        <v>128</v>
      </c>
      <c r="E35" s="20" t="s">
        <v>4747</v>
      </c>
      <c r="F35" s="17" t="s">
        <v>282</v>
      </c>
      <c r="G35" s="19" t="s">
        <v>116</v>
      </c>
      <c r="H35" s="18">
        <v>28.24666666666667</v>
      </c>
      <c r="I35" s="17" t="s">
        <v>49</v>
      </c>
      <c r="J35" s="17" t="s">
        <v>48</v>
      </c>
      <c r="K35" s="17"/>
      <c r="L35" s="17"/>
      <c r="M35" s="16" t="str">
        <f>HYPERLINK("http://slimages.macys.com/is/image/MCY/19356928 ")</f>
        <v xml:space="preserve">http://slimages.macys.com/is/image/MCY/19356928 </v>
      </c>
      <c r="N35" s="30"/>
    </row>
    <row r="36" spans="1:14" ht="60" x14ac:dyDescent="0.25">
      <c r="A36" s="19" t="s">
        <v>4746</v>
      </c>
      <c r="B36" s="17" t="s">
        <v>4745</v>
      </c>
      <c r="C36" s="20">
        <v>1</v>
      </c>
      <c r="D36" s="18">
        <v>139.5</v>
      </c>
      <c r="E36" s="20" t="s">
        <v>4744</v>
      </c>
      <c r="F36" s="17" t="s">
        <v>28</v>
      </c>
      <c r="G36" s="19" t="s">
        <v>116</v>
      </c>
      <c r="H36" s="18">
        <v>28.106666666666669</v>
      </c>
      <c r="I36" s="17" t="s">
        <v>106</v>
      </c>
      <c r="J36" s="17" t="s">
        <v>105</v>
      </c>
      <c r="K36" s="17"/>
      <c r="L36" s="17"/>
      <c r="M36" s="16" t="str">
        <f>HYPERLINK("http://slimages.macys.com/is/image/MCY/18827570 ")</f>
        <v xml:space="preserve">http://slimages.macys.com/is/image/MCY/18827570 </v>
      </c>
      <c r="N36" s="30"/>
    </row>
    <row r="37" spans="1:14" ht="60" x14ac:dyDescent="0.25">
      <c r="A37" s="19" t="s">
        <v>4743</v>
      </c>
      <c r="B37" s="17" t="s">
        <v>4742</v>
      </c>
      <c r="C37" s="20">
        <v>1</v>
      </c>
      <c r="D37" s="18">
        <v>139</v>
      </c>
      <c r="E37" s="20" t="s">
        <v>4741</v>
      </c>
      <c r="F37" s="17" t="s">
        <v>558</v>
      </c>
      <c r="G37" s="19" t="s">
        <v>749</v>
      </c>
      <c r="H37" s="18">
        <v>27.8</v>
      </c>
      <c r="I37" s="17" t="s">
        <v>678</v>
      </c>
      <c r="J37" s="17" t="s">
        <v>404</v>
      </c>
      <c r="K37" s="17"/>
      <c r="L37" s="17"/>
      <c r="M37" s="16" t="str">
        <f>HYPERLINK("http://slimages.macys.com/is/image/MCY/19101728 ")</f>
        <v xml:space="preserve">http://slimages.macys.com/is/image/MCY/19101728 </v>
      </c>
      <c r="N37" s="30"/>
    </row>
    <row r="38" spans="1:14" ht="60" x14ac:dyDescent="0.25">
      <c r="A38" s="19" t="s">
        <v>4740</v>
      </c>
      <c r="B38" s="17" t="s">
        <v>4739</v>
      </c>
      <c r="C38" s="20">
        <v>1</v>
      </c>
      <c r="D38" s="18">
        <v>129</v>
      </c>
      <c r="E38" s="20">
        <v>8169946</v>
      </c>
      <c r="F38" s="17"/>
      <c r="G38" s="19" t="s">
        <v>101</v>
      </c>
      <c r="H38" s="18">
        <v>27.766666666666669</v>
      </c>
      <c r="I38" s="17" t="s">
        <v>129</v>
      </c>
      <c r="J38" s="17" t="s">
        <v>128</v>
      </c>
      <c r="K38" s="17" t="s">
        <v>637</v>
      </c>
      <c r="L38" s="17" t="s">
        <v>3711</v>
      </c>
      <c r="M38" s="16" t="str">
        <f>HYPERLINK("http://images.bloomingdales.com/is/image/BLM/10763325 ")</f>
        <v xml:space="preserve">http://images.bloomingdales.com/is/image/BLM/10763325 </v>
      </c>
      <c r="N38" s="30"/>
    </row>
    <row r="39" spans="1:14" ht="60" x14ac:dyDescent="0.25">
      <c r="A39" s="19" t="s">
        <v>1434</v>
      </c>
      <c r="B39" s="17" t="s">
        <v>1433</v>
      </c>
      <c r="C39" s="20">
        <v>5</v>
      </c>
      <c r="D39" s="18">
        <v>120</v>
      </c>
      <c r="E39" s="20" t="s">
        <v>1432</v>
      </c>
      <c r="F39" s="17" t="s">
        <v>23</v>
      </c>
      <c r="G39" s="19" t="s">
        <v>69</v>
      </c>
      <c r="H39" s="18">
        <v>27.333333333333332</v>
      </c>
      <c r="I39" s="17" t="s">
        <v>133</v>
      </c>
      <c r="J39" s="17" t="s">
        <v>833</v>
      </c>
      <c r="K39" s="17"/>
      <c r="L39" s="17"/>
      <c r="M39" s="16" t="str">
        <f>HYPERLINK("http://slimages.macys.com/is/image/MCY/19305208 ")</f>
        <v xml:space="preserve">http://slimages.macys.com/is/image/MCY/19305208 </v>
      </c>
      <c r="N39" s="30"/>
    </row>
    <row r="40" spans="1:14" ht="60" x14ac:dyDescent="0.25">
      <c r="A40" s="19" t="s">
        <v>1425</v>
      </c>
      <c r="B40" s="17" t="s">
        <v>1424</v>
      </c>
      <c r="C40" s="20">
        <v>1</v>
      </c>
      <c r="D40" s="18">
        <v>148</v>
      </c>
      <c r="E40" s="20" t="s">
        <v>1423</v>
      </c>
      <c r="F40" s="17" t="s">
        <v>23</v>
      </c>
      <c r="G40" s="19" t="s">
        <v>682</v>
      </c>
      <c r="H40" s="18">
        <v>26.64</v>
      </c>
      <c r="I40" s="17" t="s">
        <v>115</v>
      </c>
      <c r="J40" s="17" t="s">
        <v>742</v>
      </c>
      <c r="K40" s="17"/>
      <c r="L40" s="17"/>
      <c r="M40" s="16" t="str">
        <f>HYPERLINK("http://slimages.macys.com/is/image/MCY/19102968 ")</f>
        <v xml:space="preserve">http://slimages.macys.com/is/image/MCY/19102968 </v>
      </c>
      <c r="N40" s="30"/>
    </row>
    <row r="41" spans="1:14" ht="60" x14ac:dyDescent="0.25">
      <c r="A41" s="19" t="s">
        <v>4738</v>
      </c>
      <c r="B41" s="17" t="s">
        <v>4737</v>
      </c>
      <c r="C41" s="20">
        <v>1</v>
      </c>
      <c r="D41" s="18">
        <v>148</v>
      </c>
      <c r="E41" s="20" t="s">
        <v>743</v>
      </c>
      <c r="F41" s="17" t="s">
        <v>359</v>
      </c>
      <c r="G41" s="19" t="s">
        <v>698</v>
      </c>
      <c r="H41" s="18">
        <v>26.64</v>
      </c>
      <c r="I41" s="17" t="s">
        <v>115</v>
      </c>
      <c r="J41" s="17" t="s">
        <v>742</v>
      </c>
      <c r="K41" s="17"/>
      <c r="L41" s="17"/>
      <c r="M41" s="16" t="str">
        <f>HYPERLINK("http://slimages.macys.com/is/image/MCY/16842224 ")</f>
        <v xml:space="preserve">http://slimages.macys.com/is/image/MCY/16842224 </v>
      </c>
      <c r="N41" s="30"/>
    </row>
    <row r="42" spans="1:14" ht="96" x14ac:dyDescent="0.25">
      <c r="A42" s="19" t="s">
        <v>4736</v>
      </c>
      <c r="B42" s="17" t="s">
        <v>4735</v>
      </c>
      <c r="C42" s="20">
        <v>1</v>
      </c>
      <c r="D42" s="18">
        <v>109</v>
      </c>
      <c r="E42" s="20" t="s">
        <v>4025</v>
      </c>
      <c r="F42" s="17" t="s">
        <v>51</v>
      </c>
      <c r="G42" s="19" t="s">
        <v>857</v>
      </c>
      <c r="H42" s="18">
        <v>26.6</v>
      </c>
      <c r="I42" s="17" t="s">
        <v>1363</v>
      </c>
      <c r="J42" s="17" t="s">
        <v>1362</v>
      </c>
      <c r="K42" s="17" t="s">
        <v>389</v>
      </c>
      <c r="L42" s="17" t="s">
        <v>4024</v>
      </c>
      <c r="M42" s="16" t="str">
        <f>HYPERLINK("http://slimages.macys.com/is/image/MCY/12790861 ")</f>
        <v xml:space="preserve">http://slimages.macys.com/is/image/MCY/12790861 </v>
      </c>
      <c r="N42" s="30"/>
    </row>
    <row r="43" spans="1:14" ht="60" x14ac:dyDescent="0.25">
      <c r="A43" s="19" t="s">
        <v>4734</v>
      </c>
      <c r="B43" s="17" t="s">
        <v>4733</v>
      </c>
      <c r="C43" s="20">
        <v>1</v>
      </c>
      <c r="D43" s="18">
        <v>159.5</v>
      </c>
      <c r="E43" s="20" t="s">
        <v>4732</v>
      </c>
      <c r="F43" s="17" t="s">
        <v>51</v>
      </c>
      <c r="G43" s="19" t="s">
        <v>27</v>
      </c>
      <c r="H43" s="18">
        <v>26.586666666666666</v>
      </c>
      <c r="I43" s="17" t="s">
        <v>68</v>
      </c>
      <c r="J43" s="17" t="s">
        <v>67</v>
      </c>
      <c r="K43" s="17"/>
      <c r="L43" s="17"/>
      <c r="M43" s="16" t="str">
        <f>HYPERLINK("http://slimages.macys.com/is/image/MCY/17804973 ")</f>
        <v xml:space="preserve">http://slimages.macys.com/is/image/MCY/17804973 </v>
      </c>
      <c r="N43" s="30"/>
    </row>
    <row r="44" spans="1:14" ht="96" x14ac:dyDescent="0.25">
      <c r="A44" s="19" t="s">
        <v>4731</v>
      </c>
      <c r="B44" s="17" t="s">
        <v>4730</v>
      </c>
      <c r="C44" s="20">
        <v>1</v>
      </c>
      <c r="D44" s="18">
        <v>109</v>
      </c>
      <c r="E44" s="20" t="s">
        <v>4729</v>
      </c>
      <c r="F44" s="17" t="s">
        <v>51</v>
      </c>
      <c r="G44" s="19" t="s">
        <v>4728</v>
      </c>
      <c r="H44" s="18">
        <v>26.38</v>
      </c>
      <c r="I44" s="17" t="s">
        <v>1363</v>
      </c>
      <c r="J44" s="17" t="s">
        <v>1362</v>
      </c>
      <c r="K44" s="17" t="s">
        <v>389</v>
      </c>
      <c r="L44" s="17" t="s">
        <v>4024</v>
      </c>
      <c r="M44" s="16" t="str">
        <f>HYPERLINK("http://slimages.macys.com/is/image/MCY/9816306 ")</f>
        <v xml:space="preserve">http://slimages.macys.com/is/image/MCY/9816306 </v>
      </c>
      <c r="N44" s="30"/>
    </row>
    <row r="45" spans="1:14" ht="60" x14ac:dyDescent="0.25">
      <c r="A45" s="19" t="s">
        <v>4727</v>
      </c>
      <c r="B45" s="17" t="s">
        <v>4726</v>
      </c>
      <c r="C45" s="20">
        <v>1</v>
      </c>
      <c r="D45" s="18">
        <v>104.25</v>
      </c>
      <c r="E45" s="20" t="s">
        <v>2957</v>
      </c>
      <c r="F45" s="17" t="s">
        <v>51</v>
      </c>
      <c r="G45" s="19"/>
      <c r="H45" s="18">
        <v>26.233333333333334</v>
      </c>
      <c r="I45" s="17" t="s">
        <v>33</v>
      </c>
      <c r="J45" s="17" t="s">
        <v>32</v>
      </c>
      <c r="K45" s="17"/>
      <c r="L45" s="17"/>
      <c r="M45" s="16" t="str">
        <f>HYPERLINK("http://slimages.macys.com/is/image/MCY/19321049 ")</f>
        <v xml:space="preserve">http://slimages.macys.com/is/image/MCY/19321049 </v>
      </c>
      <c r="N45" s="30"/>
    </row>
    <row r="46" spans="1:14" ht="60" x14ac:dyDescent="0.25">
      <c r="A46" s="19" t="s">
        <v>4725</v>
      </c>
      <c r="B46" s="17" t="s">
        <v>4724</v>
      </c>
      <c r="C46" s="20">
        <v>1</v>
      </c>
      <c r="D46" s="18">
        <v>118</v>
      </c>
      <c r="E46" s="20" t="s">
        <v>4723</v>
      </c>
      <c r="F46" s="17" t="s">
        <v>508</v>
      </c>
      <c r="G46" s="19" t="s">
        <v>101</v>
      </c>
      <c r="H46" s="18">
        <v>26.040000000000003</v>
      </c>
      <c r="I46" s="17" t="s">
        <v>49</v>
      </c>
      <c r="J46" s="17" t="s">
        <v>48</v>
      </c>
      <c r="K46" s="17"/>
      <c r="L46" s="17"/>
      <c r="M46" s="16" t="str">
        <f>HYPERLINK("http://slimages.macys.com/is/image/MCY/19176932 ")</f>
        <v xml:space="preserve">http://slimages.macys.com/is/image/MCY/19176932 </v>
      </c>
      <c r="N46" s="30"/>
    </row>
    <row r="47" spans="1:14" ht="60" x14ac:dyDescent="0.25">
      <c r="A47" s="19" t="s">
        <v>4722</v>
      </c>
      <c r="B47" s="17" t="s">
        <v>4721</v>
      </c>
      <c r="C47" s="20">
        <v>1</v>
      </c>
      <c r="D47" s="18">
        <v>118</v>
      </c>
      <c r="E47" s="20" t="s">
        <v>4720</v>
      </c>
      <c r="F47" s="17" t="s">
        <v>216</v>
      </c>
      <c r="G47" s="19" t="s">
        <v>17</v>
      </c>
      <c r="H47" s="18">
        <v>26.040000000000003</v>
      </c>
      <c r="I47" s="17" t="s">
        <v>49</v>
      </c>
      <c r="J47" s="17" t="s">
        <v>48</v>
      </c>
      <c r="K47" s="17"/>
      <c r="L47" s="17"/>
      <c r="M47" s="16" t="str">
        <f>HYPERLINK("http://slimages.macys.com/is/image/MCY/19358783 ")</f>
        <v xml:space="preserve">http://slimages.macys.com/is/image/MCY/19358783 </v>
      </c>
      <c r="N47" s="30"/>
    </row>
    <row r="48" spans="1:14" ht="60" x14ac:dyDescent="0.25">
      <c r="A48" s="19" t="s">
        <v>4719</v>
      </c>
      <c r="B48" s="17" t="s">
        <v>4718</v>
      </c>
      <c r="C48" s="20">
        <v>1</v>
      </c>
      <c r="D48" s="18">
        <v>139</v>
      </c>
      <c r="E48" s="20" t="s">
        <v>4717</v>
      </c>
      <c r="F48" s="17" t="s">
        <v>1382</v>
      </c>
      <c r="G48" s="19" t="s">
        <v>698</v>
      </c>
      <c r="H48" s="18">
        <v>25.986666666666668</v>
      </c>
      <c r="I48" s="17" t="s">
        <v>820</v>
      </c>
      <c r="J48" s="17" t="s">
        <v>67</v>
      </c>
      <c r="K48" s="17"/>
      <c r="L48" s="17"/>
      <c r="M48" s="16" t="str">
        <f>HYPERLINK("http://slimages.macys.com/is/image/MCY/18973481 ")</f>
        <v xml:space="preserve">http://slimages.macys.com/is/image/MCY/18973481 </v>
      </c>
      <c r="N48" s="30"/>
    </row>
    <row r="49" spans="1:14" ht="60" x14ac:dyDescent="0.25">
      <c r="A49" s="19" t="s">
        <v>4716</v>
      </c>
      <c r="B49" s="17" t="s">
        <v>4715</v>
      </c>
      <c r="C49" s="20">
        <v>1</v>
      </c>
      <c r="D49" s="18">
        <v>139</v>
      </c>
      <c r="E49" s="20" t="s">
        <v>4714</v>
      </c>
      <c r="F49" s="17" t="s">
        <v>140</v>
      </c>
      <c r="G49" s="19" t="s">
        <v>773</v>
      </c>
      <c r="H49" s="18">
        <v>25.946666666666665</v>
      </c>
      <c r="I49" s="17" t="s">
        <v>678</v>
      </c>
      <c r="J49" s="17" t="s">
        <v>404</v>
      </c>
      <c r="K49" s="17"/>
      <c r="L49" s="17"/>
      <c r="M49" s="16" t="str">
        <f>HYPERLINK("http://slimages.macys.com/is/image/MCY/19205937 ")</f>
        <v xml:space="preserve">http://slimages.macys.com/is/image/MCY/19205937 </v>
      </c>
      <c r="N49" s="30"/>
    </row>
    <row r="50" spans="1:14" ht="60" x14ac:dyDescent="0.25">
      <c r="A50" s="19" t="s">
        <v>4713</v>
      </c>
      <c r="B50" s="17" t="s">
        <v>4712</v>
      </c>
      <c r="C50" s="20">
        <v>1</v>
      </c>
      <c r="D50" s="18">
        <v>129</v>
      </c>
      <c r="E50" s="20">
        <v>10803246</v>
      </c>
      <c r="F50" s="17" t="s">
        <v>282</v>
      </c>
      <c r="G50" s="19" t="s">
        <v>351</v>
      </c>
      <c r="H50" s="18">
        <v>25.8</v>
      </c>
      <c r="I50" s="17" t="s">
        <v>358</v>
      </c>
      <c r="J50" s="17" t="s">
        <v>554</v>
      </c>
      <c r="K50" s="17"/>
      <c r="L50" s="17"/>
      <c r="M50" s="16" t="str">
        <f>HYPERLINK("http://slimages.macys.com/is/image/MCY/19205618 ")</f>
        <v xml:space="preserve">http://slimages.macys.com/is/image/MCY/19205618 </v>
      </c>
      <c r="N50" s="30"/>
    </row>
    <row r="51" spans="1:14" ht="60" x14ac:dyDescent="0.25">
      <c r="A51" s="19" t="s">
        <v>4711</v>
      </c>
      <c r="B51" s="17" t="s">
        <v>4710</v>
      </c>
      <c r="C51" s="20">
        <v>1</v>
      </c>
      <c r="D51" s="18">
        <v>129</v>
      </c>
      <c r="E51" s="20">
        <v>10797942</v>
      </c>
      <c r="F51" s="17" t="s">
        <v>51</v>
      </c>
      <c r="G51" s="19" t="s">
        <v>139</v>
      </c>
      <c r="H51" s="18">
        <v>24.94</v>
      </c>
      <c r="I51" s="17" t="s">
        <v>1307</v>
      </c>
      <c r="J51" s="17" t="s">
        <v>1306</v>
      </c>
      <c r="K51" s="17"/>
      <c r="L51" s="17"/>
      <c r="M51" s="16" t="str">
        <f>HYPERLINK("http://slimages.macys.com/is/image/MCY/18492305 ")</f>
        <v xml:space="preserve">http://slimages.macys.com/is/image/MCY/18492305 </v>
      </c>
      <c r="N51" s="30"/>
    </row>
    <row r="52" spans="1:14" ht="60" x14ac:dyDescent="0.25">
      <c r="A52" s="19" t="s">
        <v>4709</v>
      </c>
      <c r="B52" s="17" t="s">
        <v>4708</v>
      </c>
      <c r="C52" s="20">
        <v>1</v>
      </c>
      <c r="D52" s="18">
        <v>149</v>
      </c>
      <c r="E52" s="20">
        <v>10773990</v>
      </c>
      <c r="F52" s="17" t="s">
        <v>575</v>
      </c>
      <c r="G52" s="19" t="s">
        <v>351</v>
      </c>
      <c r="H52" s="18">
        <v>24.833333333333336</v>
      </c>
      <c r="I52" s="17" t="s">
        <v>1307</v>
      </c>
      <c r="J52" s="17" t="s">
        <v>1306</v>
      </c>
      <c r="K52" s="17"/>
      <c r="L52" s="17"/>
      <c r="M52" s="16" t="str">
        <f>HYPERLINK("http://slimages.macys.com/is/image/MCY/18973250 ")</f>
        <v xml:space="preserve">http://slimages.macys.com/is/image/MCY/18973250 </v>
      </c>
      <c r="N52" s="30"/>
    </row>
    <row r="53" spans="1:14" ht="60" x14ac:dyDescent="0.25">
      <c r="A53" s="19" t="s">
        <v>4707</v>
      </c>
      <c r="B53" s="17" t="s">
        <v>4706</v>
      </c>
      <c r="C53" s="20">
        <v>1</v>
      </c>
      <c r="D53" s="18">
        <v>80</v>
      </c>
      <c r="E53" s="20" t="s">
        <v>4705</v>
      </c>
      <c r="F53" s="17" t="s">
        <v>198</v>
      </c>
      <c r="G53" s="19" t="s">
        <v>96</v>
      </c>
      <c r="H53" s="18">
        <v>24.666666666666668</v>
      </c>
      <c r="I53" s="17" t="s">
        <v>481</v>
      </c>
      <c r="J53" s="17" t="s">
        <v>1500</v>
      </c>
      <c r="K53" s="17"/>
      <c r="L53" s="17"/>
      <c r="M53" s="16" t="str">
        <f>HYPERLINK("http://slimages.macys.com/is/image/MCY/19109138 ")</f>
        <v xml:space="preserve">http://slimages.macys.com/is/image/MCY/19109138 </v>
      </c>
      <c r="N53" s="30"/>
    </row>
    <row r="54" spans="1:14" ht="60" x14ac:dyDescent="0.25">
      <c r="A54" s="19" t="s">
        <v>4704</v>
      </c>
      <c r="B54" s="17" t="s">
        <v>4703</v>
      </c>
      <c r="C54" s="20">
        <v>1</v>
      </c>
      <c r="D54" s="18">
        <v>79</v>
      </c>
      <c r="E54" s="20" t="s">
        <v>4702</v>
      </c>
      <c r="F54" s="17" t="s">
        <v>51</v>
      </c>
      <c r="G54" s="19" t="s">
        <v>658</v>
      </c>
      <c r="H54" s="18">
        <v>24</v>
      </c>
      <c r="I54" s="17" t="s">
        <v>148</v>
      </c>
      <c r="J54" s="17" t="s">
        <v>772</v>
      </c>
      <c r="K54" s="17" t="s">
        <v>771</v>
      </c>
      <c r="L54" s="17" t="s">
        <v>4701</v>
      </c>
      <c r="M54" s="16" t="str">
        <f>HYPERLINK("http://images.bloomingdales.com/is/image/BLM/10793429 ")</f>
        <v xml:space="preserve">http://images.bloomingdales.com/is/image/BLM/10793429 </v>
      </c>
      <c r="N54" s="30"/>
    </row>
    <row r="55" spans="1:14" ht="60" x14ac:dyDescent="0.25">
      <c r="A55" s="19" t="s">
        <v>4700</v>
      </c>
      <c r="B55" s="17" t="s">
        <v>4699</v>
      </c>
      <c r="C55" s="20">
        <v>2</v>
      </c>
      <c r="D55" s="18">
        <v>108</v>
      </c>
      <c r="E55" s="20" t="s">
        <v>4698</v>
      </c>
      <c r="F55" s="17" t="s">
        <v>282</v>
      </c>
      <c r="G55" s="19" t="s">
        <v>50</v>
      </c>
      <c r="H55" s="18">
        <v>23.833333333333336</v>
      </c>
      <c r="I55" s="17" t="s">
        <v>49</v>
      </c>
      <c r="J55" s="17" t="s">
        <v>48</v>
      </c>
      <c r="K55" s="17"/>
      <c r="L55" s="17"/>
      <c r="M55" s="16" t="str">
        <f>HYPERLINK("http://slimages.macys.com/is/image/MCY/19192484 ")</f>
        <v xml:space="preserve">http://slimages.macys.com/is/image/MCY/19192484 </v>
      </c>
      <c r="N55" s="30"/>
    </row>
    <row r="56" spans="1:14" ht="60" x14ac:dyDescent="0.25">
      <c r="A56" s="19" t="s">
        <v>4697</v>
      </c>
      <c r="B56" s="17" t="s">
        <v>4696</v>
      </c>
      <c r="C56" s="20">
        <v>1</v>
      </c>
      <c r="D56" s="18">
        <v>108</v>
      </c>
      <c r="E56" s="20" t="s">
        <v>4695</v>
      </c>
      <c r="F56" s="17" t="s">
        <v>716</v>
      </c>
      <c r="G56" s="19"/>
      <c r="H56" s="18">
        <v>23.833333333333336</v>
      </c>
      <c r="I56" s="17" t="s">
        <v>49</v>
      </c>
      <c r="J56" s="17" t="s">
        <v>48</v>
      </c>
      <c r="K56" s="17"/>
      <c r="L56" s="17"/>
      <c r="M56" s="16" t="str">
        <f>HYPERLINK("http://slimages.macys.com/is/image/MCY/19634695 ")</f>
        <v xml:space="preserve">http://slimages.macys.com/is/image/MCY/19634695 </v>
      </c>
      <c r="N56" s="30"/>
    </row>
    <row r="57" spans="1:14" ht="60" x14ac:dyDescent="0.25">
      <c r="A57" s="19" t="s">
        <v>719</v>
      </c>
      <c r="B57" s="17" t="s">
        <v>718</v>
      </c>
      <c r="C57" s="20">
        <v>1</v>
      </c>
      <c r="D57" s="18">
        <v>108</v>
      </c>
      <c r="E57" s="20" t="s">
        <v>717</v>
      </c>
      <c r="F57" s="17" t="s">
        <v>716</v>
      </c>
      <c r="G57" s="19" t="s">
        <v>22</v>
      </c>
      <c r="H57" s="18">
        <v>23.833333333333336</v>
      </c>
      <c r="I57" s="17" t="s">
        <v>49</v>
      </c>
      <c r="J57" s="17" t="s">
        <v>48</v>
      </c>
      <c r="K57" s="17"/>
      <c r="L57" s="17"/>
      <c r="M57" s="16" t="str">
        <f>HYPERLINK("http://slimages.macys.com/is/image/MCY/18990338 ")</f>
        <v xml:space="preserve">http://slimages.macys.com/is/image/MCY/18990338 </v>
      </c>
      <c r="N57" s="30"/>
    </row>
    <row r="58" spans="1:14" ht="60" x14ac:dyDescent="0.25">
      <c r="A58" s="19" t="s">
        <v>4694</v>
      </c>
      <c r="B58" s="17" t="s">
        <v>4693</v>
      </c>
      <c r="C58" s="20">
        <v>1</v>
      </c>
      <c r="D58" s="18">
        <v>88</v>
      </c>
      <c r="E58" s="20" t="s">
        <v>4692</v>
      </c>
      <c r="F58" s="17" t="s">
        <v>216</v>
      </c>
      <c r="G58" s="19"/>
      <c r="H58" s="18">
        <v>23.733333333333334</v>
      </c>
      <c r="I58" s="17" t="s">
        <v>148</v>
      </c>
      <c r="J58" s="17" t="s">
        <v>2093</v>
      </c>
      <c r="K58" s="17"/>
      <c r="L58" s="17"/>
      <c r="M58" s="16" t="str">
        <f>HYPERLINK("http://slimages.macys.com/is/image/MCY/18610477 ")</f>
        <v xml:space="preserve">http://slimages.macys.com/is/image/MCY/18610477 </v>
      </c>
      <c r="N58" s="30"/>
    </row>
    <row r="59" spans="1:14" ht="84" x14ac:dyDescent="0.25">
      <c r="A59" s="19" t="s">
        <v>4691</v>
      </c>
      <c r="B59" s="17" t="s">
        <v>4690</v>
      </c>
      <c r="C59" s="20">
        <v>1</v>
      </c>
      <c r="D59" s="18">
        <v>79.989999999999995</v>
      </c>
      <c r="E59" s="20">
        <v>50038767</v>
      </c>
      <c r="F59" s="17" t="s">
        <v>18</v>
      </c>
      <c r="G59" s="19" t="s">
        <v>658</v>
      </c>
      <c r="H59" s="18">
        <v>23.333333333333336</v>
      </c>
      <c r="I59" s="17" t="s">
        <v>854</v>
      </c>
      <c r="J59" s="17" t="s">
        <v>850</v>
      </c>
      <c r="K59" s="17" t="s">
        <v>389</v>
      </c>
      <c r="L59" s="17" t="s">
        <v>1154</v>
      </c>
      <c r="M59" s="16" t="str">
        <f>HYPERLINK("http://slimages.macys.com/is/image/MCY/15010318 ")</f>
        <v xml:space="preserve">http://slimages.macys.com/is/image/MCY/15010318 </v>
      </c>
      <c r="N59" s="30"/>
    </row>
    <row r="60" spans="1:14" ht="60" x14ac:dyDescent="0.25">
      <c r="A60" s="19" t="s">
        <v>4689</v>
      </c>
      <c r="B60" s="17" t="s">
        <v>4688</v>
      </c>
      <c r="C60" s="20">
        <v>1</v>
      </c>
      <c r="D60" s="18">
        <v>139</v>
      </c>
      <c r="E60" s="20">
        <v>10770612</v>
      </c>
      <c r="F60" s="17" t="s">
        <v>508</v>
      </c>
      <c r="G60" s="19" t="s">
        <v>62</v>
      </c>
      <c r="H60" s="18">
        <v>23.166666666666668</v>
      </c>
      <c r="I60" s="17" t="s">
        <v>120</v>
      </c>
      <c r="J60" s="17" t="s">
        <v>119</v>
      </c>
      <c r="K60" s="17" t="s">
        <v>389</v>
      </c>
      <c r="L60" s="17" t="s">
        <v>2600</v>
      </c>
      <c r="M60" s="16" t="str">
        <f>HYPERLINK("http://slimages.macys.com/is/image/MCY/15918925 ")</f>
        <v xml:space="preserve">http://slimages.macys.com/is/image/MCY/15918925 </v>
      </c>
      <c r="N60" s="30"/>
    </row>
    <row r="61" spans="1:14" ht="60" x14ac:dyDescent="0.25">
      <c r="A61" s="19" t="s">
        <v>4687</v>
      </c>
      <c r="B61" s="17" t="s">
        <v>4686</v>
      </c>
      <c r="C61" s="20">
        <v>1</v>
      </c>
      <c r="D61" s="18">
        <v>98</v>
      </c>
      <c r="E61" s="20" t="s">
        <v>1379</v>
      </c>
      <c r="F61" s="17" t="s">
        <v>75</v>
      </c>
      <c r="G61" s="19" t="s">
        <v>69</v>
      </c>
      <c r="H61" s="18">
        <v>22.866666666666667</v>
      </c>
      <c r="I61" s="17" t="s">
        <v>133</v>
      </c>
      <c r="J61" s="17" t="s">
        <v>132</v>
      </c>
      <c r="K61" s="17"/>
      <c r="L61" s="17"/>
      <c r="M61" s="16" t="str">
        <f>HYPERLINK("http://slimages.macys.com/is/image/MCY/19700373 ")</f>
        <v xml:space="preserve">http://slimages.macys.com/is/image/MCY/19700373 </v>
      </c>
      <c r="N61" s="30"/>
    </row>
    <row r="62" spans="1:14" ht="60" x14ac:dyDescent="0.25">
      <c r="A62" s="19" t="s">
        <v>4685</v>
      </c>
      <c r="B62" s="17" t="s">
        <v>4684</v>
      </c>
      <c r="C62" s="20">
        <v>7</v>
      </c>
      <c r="D62" s="18">
        <v>98</v>
      </c>
      <c r="E62" s="20" t="s">
        <v>1374</v>
      </c>
      <c r="F62" s="17" t="s">
        <v>23</v>
      </c>
      <c r="G62" s="19" t="s">
        <v>74</v>
      </c>
      <c r="H62" s="18">
        <v>22.666666666666668</v>
      </c>
      <c r="I62" s="17" t="s">
        <v>133</v>
      </c>
      <c r="J62" s="17" t="s">
        <v>833</v>
      </c>
      <c r="K62" s="17"/>
      <c r="L62" s="17"/>
      <c r="M62" s="16" t="str">
        <f>HYPERLINK("http://slimages.macys.com/is/image/MCY/19305311 ")</f>
        <v xml:space="preserve">http://slimages.macys.com/is/image/MCY/19305311 </v>
      </c>
      <c r="N62" s="30"/>
    </row>
    <row r="63" spans="1:14" ht="60" x14ac:dyDescent="0.25">
      <c r="A63" s="19" t="s">
        <v>1378</v>
      </c>
      <c r="B63" s="17" t="s">
        <v>1377</v>
      </c>
      <c r="C63" s="20">
        <v>4</v>
      </c>
      <c r="D63" s="18">
        <v>98</v>
      </c>
      <c r="E63" s="20" t="s">
        <v>1374</v>
      </c>
      <c r="F63" s="17" t="s">
        <v>23</v>
      </c>
      <c r="G63" s="19" t="s">
        <v>69</v>
      </c>
      <c r="H63" s="18">
        <v>22.666666666666668</v>
      </c>
      <c r="I63" s="17" t="s">
        <v>133</v>
      </c>
      <c r="J63" s="17" t="s">
        <v>833</v>
      </c>
      <c r="K63" s="17"/>
      <c r="L63" s="17"/>
      <c r="M63" s="16" t="str">
        <f>HYPERLINK("http://slimages.macys.com/is/image/MCY/19305311 ")</f>
        <v xml:space="preserve">http://slimages.macys.com/is/image/MCY/19305311 </v>
      </c>
      <c r="N63" s="30"/>
    </row>
    <row r="64" spans="1:14" ht="60" x14ac:dyDescent="0.25">
      <c r="A64" s="19" t="s">
        <v>4683</v>
      </c>
      <c r="B64" s="17" t="s">
        <v>4682</v>
      </c>
      <c r="C64" s="20">
        <v>1</v>
      </c>
      <c r="D64" s="18">
        <v>119</v>
      </c>
      <c r="E64" s="20">
        <v>60565937</v>
      </c>
      <c r="F64" s="17" t="s">
        <v>23</v>
      </c>
      <c r="G64" s="19" t="s">
        <v>27</v>
      </c>
      <c r="H64" s="18">
        <v>22.213333333333335</v>
      </c>
      <c r="I64" s="17" t="s">
        <v>115</v>
      </c>
      <c r="J64" s="17" t="s">
        <v>114</v>
      </c>
      <c r="K64" s="17"/>
      <c r="L64" s="17"/>
      <c r="M64" s="16" t="str">
        <f>HYPERLINK("http://slimages.macys.com/is/image/MCY/18720146 ")</f>
        <v xml:space="preserve">http://slimages.macys.com/is/image/MCY/18720146 </v>
      </c>
      <c r="N64" s="30"/>
    </row>
    <row r="65" spans="1:14" ht="60" x14ac:dyDescent="0.25">
      <c r="A65" s="19" t="s">
        <v>4681</v>
      </c>
      <c r="B65" s="17" t="s">
        <v>4680</v>
      </c>
      <c r="C65" s="20">
        <v>1</v>
      </c>
      <c r="D65" s="18">
        <v>98</v>
      </c>
      <c r="E65" s="20" t="s">
        <v>4679</v>
      </c>
      <c r="F65" s="17" t="s">
        <v>345</v>
      </c>
      <c r="G65" s="19" t="s">
        <v>101</v>
      </c>
      <c r="H65" s="18">
        <v>21.626666666666669</v>
      </c>
      <c r="I65" s="17" t="s">
        <v>49</v>
      </c>
      <c r="J65" s="17" t="s">
        <v>48</v>
      </c>
      <c r="K65" s="17"/>
      <c r="L65" s="17"/>
      <c r="M65" s="16" t="str">
        <f>HYPERLINK("http://slimages.macys.com/is/image/MCY/19410997 ")</f>
        <v xml:space="preserve">http://slimages.macys.com/is/image/MCY/19410997 </v>
      </c>
      <c r="N65" s="30"/>
    </row>
    <row r="66" spans="1:14" ht="60" x14ac:dyDescent="0.25">
      <c r="A66" s="19" t="s">
        <v>4678</v>
      </c>
      <c r="B66" s="17" t="s">
        <v>4677</v>
      </c>
      <c r="C66" s="20">
        <v>1</v>
      </c>
      <c r="D66" s="18">
        <v>98</v>
      </c>
      <c r="E66" s="20" t="s">
        <v>4676</v>
      </c>
      <c r="F66" s="17" t="s">
        <v>345</v>
      </c>
      <c r="G66" s="19" t="s">
        <v>17</v>
      </c>
      <c r="H66" s="18">
        <v>21.626666666666669</v>
      </c>
      <c r="I66" s="17" t="s">
        <v>49</v>
      </c>
      <c r="J66" s="17" t="s">
        <v>48</v>
      </c>
      <c r="K66" s="17"/>
      <c r="L66" s="17"/>
      <c r="M66" s="16" t="str">
        <f>HYPERLINK("http://slimages.macys.com/is/image/MCY/19175686 ")</f>
        <v xml:space="preserve">http://slimages.macys.com/is/image/MCY/19175686 </v>
      </c>
      <c r="N66" s="30"/>
    </row>
    <row r="67" spans="1:14" ht="60" x14ac:dyDescent="0.25">
      <c r="A67" s="19" t="s">
        <v>4675</v>
      </c>
      <c r="B67" s="17" t="s">
        <v>4674</v>
      </c>
      <c r="C67" s="20">
        <v>1</v>
      </c>
      <c r="D67" s="18">
        <v>98</v>
      </c>
      <c r="E67" s="20" t="s">
        <v>691</v>
      </c>
      <c r="F67" s="17" t="s">
        <v>345</v>
      </c>
      <c r="G67" s="19"/>
      <c r="H67" s="18">
        <v>21.626666666666669</v>
      </c>
      <c r="I67" s="17" t="s">
        <v>49</v>
      </c>
      <c r="J67" s="17" t="s">
        <v>48</v>
      </c>
      <c r="K67" s="17"/>
      <c r="L67" s="17"/>
      <c r="M67" s="16" t="str">
        <f>HYPERLINK("http://slimages.macys.com/is/image/MCY/19379962 ")</f>
        <v xml:space="preserve">http://slimages.macys.com/is/image/MCY/19379962 </v>
      </c>
      <c r="N67" s="30"/>
    </row>
    <row r="68" spans="1:14" ht="60" x14ac:dyDescent="0.25">
      <c r="A68" s="19" t="s">
        <v>4673</v>
      </c>
      <c r="B68" s="17" t="s">
        <v>4672</v>
      </c>
      <c r="C68" s="20">
        <v>1</v>
      </c>
      <c r="D68" s="18">
        <v>98</v>
      </c>
      <c r="E68" s="20" t="s">
        <v>3938</v>
      </c>
      <c r="F68" s="17" t="s">
        <v>345</v>
      </c>
      <c r="G68" s="19" t="s">
        <v>62</v>
      </c>
      <c r="H68" s="18">
        <v>21.626666666666669</v>
      </c>
      <c r="I68" s="17" t="s">
        <v>49</v>
      </c>
      <c r="J68" s="17" t="s">
        <v>48</v>
      </c>
      <c r="K68" s="17" t="s">
        <v>389</v>
      </c>
      <c r="L68" s="17" t="s">
        <v>3937</v>
      </c>
      <c r="M68" s="16" t="str">
        <f>HYPERLINK("http://slimages.macys.com/is/image/MCY/18749997 ")</f>
        <v xml:space="preserve">http://slimages.macys.com/is/image/MCY/18749997 </v>
      </c>
      <c r="N68" s="30"/>
    </row>
    <row r="69" spans="1:14" ht="60" x14ac:dyDescent="0.25">
      <c r="A69" s="19" t="s">
        <v>4671</v>
      </c>
      <c r="B69" s="17" t="s">
        <v>4670</v>
      </c>
      <c r="C69" s="20">
        <v>1</v>
      </c>
      <c r="D69" s="18">
        <v>98</v>
      </c>
      <c r="E69" s="20" t="s">
        <v>2903</v>
      </c>
      <c r="F69" s="17" t="s">
        <v>345</v>
      </c>
      <c r="G69" s="19" t="s">
        <v>101</v>
      </c>
      <c r="H69" s="18">
        <v>21.626666666666669</v>
      </c>
      <c r="I69" s="17" t="s">
        <v>49</v>
      </c>
      <c r="J69" s="17" t="s">
        <v>48</v>
      </c>
      <c r="K69" s="17"/>
      <c r="L69" s="17"/>
      <c r="M69" s="16" t="str">
        <f>HYPERLINK("http://slimages.macys.com/is/image/MCY/19350207 ")</f>
        <v xml:space="preserve">http://slimages.macys.com/is/image/MCY/19350207 </v>
      </c>
      <c r="N69" s="30"/>
    </row>
    <row r="70" spans="1:14" ht="96" x14ac:dyDescent="0.25">
      <c r="A70" s="19" t="s">
        <v>4669</v>
      </c>
      <c r="B70" s="17" t="s">
        <v>4668</v>
      </c>
      <c r="C70" s="20">
        <v>1</v>
      </c>
      <c r="D70" s="18">
        <v>129</v>
      </c>
      <c r="E70" s="20" t="s">
        <v>679</v>
      </c>
      <c r="F70" s="17" t="s">
        <v>51</v>
      </c>
      <c r="G70" s="19" t="s">
        <v>857</v>
      </c>
      <c r="H70" s="18">
        <v>21.5</v>
      </c>
      <c r="I70" s="17" t="s">
        <v>678</v>
      </c>
      <c r="J70" s="17" t="s">
        <v>404</v>
      </c>
      <c r="K70" s="17" t="s">
        <v>389</v>
      </c>
      <c r="L70" s="17" t="s">
        <v>668</v>
      </c>
      <c r="M70" s="16" t="str">
        <f>HYPERLINK("http://slimages.macys.com/is/image/MCY/19377139 ")</f>
        <v xml:space="preserve">http://slimages.macys.com/is/image/MCY/19377139 </v>
      </c>
      <c r="N70" s="30"/>
    </row>
    <row r="71" spans="1:14" ht="60" x14ac:dyDescent="0.25">
      <c r="A71" s="19" t="s">
        <v>4667</v>
      </c>
      <c r="B71" s="17" t="s">
        <v>4666</v>
      </c>
      <c r="C71" s="20">
        <v>1</v>
      </c>
      <c r="D71" s="18">
        <v>129</v>
      </c>
      <c r="E71" s="20">
        <v>7021926</v>
      </c>
      <c r="F71" s="17" t="s">
        <v>70</v>
      </c>
      <c r="G71" s="19" t="s">
        <v>17</v>
      </c>
      <c r="H71" s="18">
        <v>21.5</v>
      </c>
      <c r="I71" s="17" t="s">
        <v>111</v>
      </c>
      <c r="J71" s="17" t="s">
        <v>110</v>
      </c>
      <c r="K71" s="17"/>
      <c r="L71" s="17"/>
      <c r="M71" s="16" t="str">
        <f>HYPERLINK("http://slimages.macys.com/is/image/MCY/18879898 ")</f>
        <v xml:space="preserve">http://slimages.macys.com/is/image/MCY/18879898 </v>
      </c>
      <c r="N71" s="30"/>
    </row>
    <row r="72" spans="1:14" ht="60" x14ac:dyDescent="0.25">
      <c r="A72" s="19" t="s">
        <v>4665</v>
      </c>
      <c r="B72" s="17" t="s">
        <v>4664</v>
      </c>
      <c r="C72" s="20">
        <v>1</v>
      </c>
      <c r="D72" s="18">
        <v>129</v>
      </c>
      <c r="E72" s="20">
        <v>10770980</v>
      </c>
      <c r="F72" s="17" t="s">
        <v>575</v>
      </c>
      <c r="G72" s="19" t="s">
        <v>62</v>
      </c>
      <c r="H72" s="18">
        <v>21.5</v>
      </c>
      <c r="I72" s="17" t="s">
        <v>120</v>
      </c>
      <c r="J72" s="17" t="s">
        <v>119</v>
      </c>
      <c r="K72" s="17"/>
      <c r="L72" s="17"/>
      <c r="M72" s="16" t="str">
        <f>HYPERLINK("http://slimages.macys.com/is/image/MCY/19265619 ")</f>
        <v xml:space="preserve">http://slimages.macys.com/is/image/MCY/19265619 </v>
      </c>
      <c r="N72" s="30"/>
    </row>
    <row r="73" spans="1:14" ht="72" x14ac:dyDescent="0.25">
      <c r="A73" s="19" t="s">
        <v>4663</v>
      </c>
      <c r="B73" s="17" t="s">
        <v>4662</v>
      </c>
      <c r="C73" s="20">
        <v>1</v>
      </c>
      <c r="D73" s="18">
        <v>79.989999999999995</v>
      </c>
      <c r="E73" s="20">
        <v>50039039</v>
      </c>
      <c r="F73" s="17" t="s">
        <v>28</v>
      </c>
      <c r="G73" s="19" t="s">
        <v>898</v>
      </c>
      <c r="H73" s="18">
        <v>21.333333333333336</v>
      </c>
      <c r="I73" s="17" t="s">
        <v>854</v>
      </c>
      <c r="J73" s="17" t="s">
        <v>850</v>
      </c>
      <c r="K73" s="17" t="s">
        <v>389</v>
      </c>
      <c r="L73" s="17" t="s">
        <v>1390</v>
      </c>
      <c r="M73" s="16" t="str">
        <f>HYPERLINK("http://slimages.macys.com/is/image/MCY/16181040 ")</f>
        <v xml:space="preserve">http://slimages.macys.com/is/image/MCY/16181040 </v>
      </c>
      <c r="N73" s="30"/>
    </row>
    <row r="74" spans="1:14" ht="60" x14ac:dyDescent="0.25">
      <c r="A74" s="19" t="s">
        <v>4661</v>
      </c>
      <c r="B74" s="17" t="s">
        <v>4660</v>
      </c>
      <c r="C74" s="20">
        <v>1</v>
      </c>
      <c r="D74" s="18">
        <v>115</v>
      </c>
      <c r="E74" s="20" t="s">
        <v>4659</v>
      </c>
      <c r="F74" s="17" t="s">
        <v>58</v>
      </c>
      <c r="G74" s="19" t="s">
        <v>62</v>
      </c>
      <c r="H74" s="18">
        <v>21.240000000000002</v>
      </c>
      <c r="I74" s="17" t="s">
        <v>405</v>
      </c>
      <c r="J74" s="17" t="s">
        <v>404</v>
      </c>
      <c r="K74" s="17"/>
      <c r="L74" s="17"/>
      <c r="M74" s="16" t="str">
        <f>HYPERLINK("http://slimages.macys.com/is/image/MCY/19406977 ")</f>
        <v xml:space="preserve">http://slimages.macys.com/is/image/MCY/19406977 </v>
      </c>
      <c r="N74" s="30"/>
    </row>
    <row r="75" spans="1:14" ht="60" x14ac:dyDescent="0.25">
      <c r="A75" s="19" t="s">
        <v>4658</v>
      </c>
      <c r="B75" s="17" t="s">
        <v>4657</v>
      </c>
      <c r="C75" s="20">
        <v>1</v>
      </c>
      <c r="D75" s="18">
        <v>78</v>
      </c>
      <c r="E75" s="20" t="s">
        <v>4656</v>
      </c>
      <c r="F75" s="17" t="s">
        <v>23</v>
      </c>
      <c r="G75" s="19"/>
      <c r="H75" s="18">
        <v>20.8</v>
      </c>
      <c r="I75" s="17" t="s">
        <v>148</v>
      </c>
      <c r="J75" s="17" t="s">
        <v>2093</v>
      </c>
      <c r="K75" s="17"/>
      <c r="L75" s="17"/>
      <c r="M75" s="16" t="str">
        <f>HYPERLINK("http://slimages.macys.com/is/image/MCY/18868504 ")</f>
        <v xml:space="preserve">http://slimages.macys.com/is/image/MCY/18868504 </v>
      </c>
      <c r="N75" s="30"/>
    </row>
    <row r="76" spans="1:14" ht="60" x14ac:dyDescent="0.25">
      <c r="A76" s="19" t="s">
        <v>4655</v>
      </c>
      <c r="B76" s="17" t="s">
        <v>4654</v>
      </c>
      <c r="C76" s="20">
        <v>1</v>
      </c>
      <c r="D76" s="18">
        <v>74.25</v>
      </c>
      <c r="E76" s="20">
        <v>10785494</v>
      </c>
      <c r="F76" s="17" t="s">
        <v>544</v>
      </c>
      <c r="G76" s="19" t="s">
        <v>880</v>
      </c>
      <c r="H76" s="18">
        <v>20.793333333333337</v>
      </c>
      <c r="I76" s="17" t="s">
        <v>358</v>
      </c>
      <c r="J76" s="17" t="s">
        <v>143</v>
      </c>
      <c r="K76" s="17"/>
      <c r="L76" s="17"/>
      <c r="M76" s="16" t="str">
        <f>HYPERLINK("http://slimages.macys.com/is/image/MCY/17826939 ")</f>
        <v xml:space="preserve">http://slimages.macys.com/is/image/MCY/17826939 </v>
      </c>
      <c r="N76" s="30"/>
    </row>
    <row r="77" spans="1:14" ht="96" x14ac:dyDescent="0.25">
      <c r="A77" s="19" t="s">
        <v>4653</v>
      </c>
      <c r="B77" s="17" t="s">
        <v>4652</v>
      </c>
      <c r="C77" s="20">
        <v>1</v>
      </c>
      <c r="D77" s="18">
        <v>67</v>
      </c>
      <c r="E77" s="20" t="s">
        <v>3932</v>
      </c>
      <c r="F77" s="17" t="s">
        <v>330</v>
      </c>
      <c r="G77" s="19" t="s">
        <v>874</v>
      </c>
      <c r="H77" s="18">
        <v>20.766666666666669</v>
      </c>
      <c r="I77" s="17" t="s">
        <v>33</v>
      </c>
      <c r="J77" s="17" t="s">
        <v>496</v>
      </c>
      <c r="K77" s="17" t="s">
        <v>389</v>
      </c>
      <c r="L77" s="17" t="s">
        <v>668</v>
      </c>
      <c r="M77" s="16" t="str">
        <f>HYPERLINK("http://slimages.macys.com/is/image/MCY/13585182 ")</f>
        <v xml:space="preserve">http://slimages.macys.com/is/image/MCY/13585182 </v>
      </c>
      <c r="N77" s="30"/>
    </row>
    <row r="78" spans="1:14" ht="96" x14ac:dyDescent="0.25">
      <c r="A78" s="19" t="s">
        <v>4651</v>
      </c>
      <c r="B78" s="17" t="s">
        <v>4650</v>
      </c>
      <c r="C78" s="20">
        <v>2</v>
      </c>
      <c r="D78" s="18">
        <v>67</v>
      </c>
      <c r="E78" s="20" t="s">
        <v>3932</v>
      </c>
      <c r="F78" s="17" t="s">
        <v>58</v>
      </c>
      <c r="G78" s="19" t="s">
        <v>669</v>
      </c>
      <c r="H78" s="18">
        <v>20.766666666666669</v>
      </c>
      <c r="I78" s="17" t="s">
        <v>33</v>
      </c>
      <c r="J78" s="17" t="s">
        <v>496</v>
      </c>
      <c r="K78" s="17" t="s">
        <v>389</v>
      </c>
      <c r="L78" s="17" t="s">
        <v>668</v>
      </c>
      <c r="M78" s="16" t="str">
        <f>HYPERLINK("http://slimages.macys.com/is/image/MCY/13585182 ")</f>
        <v xml:space="preserve">http://slimages.macys.com/is/image/MCY/13585182 </v>
      </c>
      <c r="N78" s="30"/>
    </row>
    <row r="79" spans="1:14" ht="96" x14ac:dyDescent="0.25">
      <c r="A79" s="19" t="s">
        <v>4649</v>
      </c>
      <c r="B79" s="17" t="s">
        <v>4648</v>
      </c>
      <c r="C79" s="20">
        <v>1</v>
      </c>
      <c r="D79" s="18">
        <v>119</v>
      </c>
      <c r="E79" s="20" t="s">
        <v>4647</v>
      </c>
      <c r="F79" s="17"/>
      <c r="G79" s="19" t="s">
        <v>1402</v>
      </c>
      <c r="H79" s="18">
        <v>20.666666666666668</v>
      </c>
      <c r="I79" s="17" t="s">
        <v>550</v>
      </c>
      <c r="J79" s="17" t="s">
        <v>1090</v>
      </c>
      <c r="K79" s="17" t="s">
        <v>389</v>
      </c>
      <c r="L79" s="17" t="s">
        <v>1401</v>
      </c>
      <c r="M79" s="16" t="str">
        <f>HYPERLINK("http://slimages.macys.com/is/image/MCY/12788722 ")</f>
        <v xml:space="preserve">http://slimages.macys.com/is/image/MCY/12788722 </v>
      </c>
      <c r="N79" s="30"/>
    </row>
    <row r="80" spans="1:14" ht="96" x14ac:dyDescent="0.25">
      <c r="A80" s="19" t="s">
        <v>4646</v>
      </c>
      <c r="B80" s="17" t="s">
        <v>4645</v>
      </c>
      <c r="C80" s="20">
        <v>1</v>
      </c>
      <c r="D80" s="18">
        <v>119</v>
      </c>
      <c r="E80" s="20" t="s">
        <v>4644</v>
      </c>
      <c r="F80" s="17"/>
      <c r="G80" s="19" t="s">
        <v>1336</v>
      </c>
      <c r="H80" s="18">
        <v>20.666666666666668</v>
      </c>
      <c r="I80" s="17" t="s">
        <v>550</v>
      </c>
      <c r="J80" s="17" t="s">
        <v>1090</v>
      </c>
      <c r="K80" s="17" t="s">
        <v>389</v>
      </c>
      <c r="L80" s="17" t="s">
        <v>1401</v>
      </c>
      <c r="M80" s="16" t="str">
        <f>HYPERLINK("http://slimages.macys.com/is/image/MCY/10166953 ")</f>
        <v xml:space="preserve">http://slimages.macys.com/is/image/MCY/10166953 </v>
      </c>
      <c r="N80" s="30"/>
    </row>
    <row r="81" spans="1:14" ht="60" x14ac:dyDescent="0.25">
      <c r="A81" s="19" t="s">
        <v>4643</v>
      </c>
      <c r="B81" s="17" t="s">
        <v>4642</v>
      </c>
      <c r="C81" s="20">
        <v>1</v>
      </c>
      <c r="D81" s="18">
        <v>68</v>
      </c>
      <c r="E81" s="20" t="s">
        <v>4641</v>
      </c>
      <c r="F81" s="17" t="s">
        <v>23</v>
      </c>
      <c r="G81" s="19" t="s">
        <v>62</v>
      </c>
      <c r="H81" s="18">
        <v>20.666666666666668</v>
      </c>
      <c r="I81" s="17" t="s">
        <v>133</v>
      </c>
      <c r="J81" s="17" t="s">
        <v>1437</v>
      </c>
      <c r="K81" s="17"/>
      <c r="L81" s="17"/>
      <c r="M81" s="16" t="str">
        <f>HYPERLINK("http://slimages.macys.com/is/image/MCY/19439300 ")</f>
        <v xml:space="preserve">http://slimages.macys.com/is/image/MCY/19439300 </v>
      </c>
      <c r="N81" s="30"/>
    </row>
    <row r="82" spans="1:14" ht="60" x14ac:dyDescent="0.25">
      <c r="A82" s="19" t="s">
        <v>4640</v>
      </c>
      <c r="B82" s="17" t="s">
        <v>4639</v>
      </c>
      <c r="C82" s="20">
        <v>1</v>
      </c>
      <c r="D82" s="18">
        <v>128</v>
      </c>
      <c r="E82" s="20" t="s">
        <v>4638</v>
      </c>
      <c r="F82" s="17" t="s">
        <v>51</v>
      </c>
      <c r="G82" s="19" t="s">
        <v>74</v>
      </c>
      <c r="H82" s="18">
        <v>20.666666666666668</v>
      </c>
      <c r="I82" s="17" t="s">
        <v>133</v>
      </c>
      <c r="J82" s="17" t="s">
        <v>584</v>
      </c>
      <c r="K82" s="17"/>
      <c r="L82" s="17"/>
      <c r="M82" s="16" t="str">
        <f>HYPERLINK("http://slimages.macys.com/is/image/MCY/19790755 ")</f>
        <v xml:space="preserve">http://slimages.macys.com/is/image/MCY/19790755 </v>
      </c>
      <c r="N82" s="30"/>
    </row>
    <row r="83" spans="1:14" ht="72" x14ac:dyDescent="0.25">
      <c r="A83" s="19" t="s">
        <v>4637</v>
      </c>
      <c r="B83" s="17" t="s">
        <v>4636</v>
      </c>
      <c r="C83" s="20">
        <v>103</v>
      </c>
      <c r="D83" s="18">
        <v>119</v>
      </c>
      <c r="E83" s="20">
        <v>7031919</v>
      </c>
      <c r="F83" s="17" t="s">
        <v>345</v>
      </c>
      <c r="G83" s="19" t="s">
        <v>50</v>
      </c>
      <c r="H83" s="18">
        <v>19.833333333333336</v>
      </c>
      <c r="I83" s="17" t="s">
        <v>111</v>
      </c>
      <c r="J83" s="17" t="s">
        <v>110</v>
      </c>
      <c r="K83" s="17" t="s">
        <v>637</v>
      </c>
      <c r="L83" s="17" t="s">
        <v>4635</v>
      </c>
      <c r="M83" s="16" t="str">
        <f>HYPERLINK("http://images.bloomingdales.com/is/image/BLM/11543354 ")</f>
        <v xml:space="preserve">http://images.bloomingdales.com/is/image/BLM/11543354 </v>
      </c>
      <c r="N83" s="30"/>
    </row>
    <row r="84" spans="1:14" ht="60" x14ac:dyDescent="0.25">
      <c r="A84" s="19" t="s">
        <v>4634</v>
      </c>
      <c r="B84" s="17" t="s">
        <v>4633</v>
      </c>
      <c r="C84" s="20">
        <v>1</v>
      </c>
      <c r="D84" s="18">
        <v>99</v>
      </c>
      <c r="E84" s="20" t="s">
        <v>4632</v>
      </c>
      <c r="F84" s="17" t="s">
        <v>263</v>
      </c>
      <c r="G84" s="19" t="s">
        <v>749</v>
      </c>
      <c r="H84" s="18">
        <v>19.8</v>
      </c>
      <c r="I84" s="17" t="s">
        <v>678</v>
      </c>
      <c r="J84" s="17" t="s">
        <v>404</v>
      </c>
      <c r="K84" s="17"/>
      <c r="L84" s="17"/>
      <c r="M84" s="16" t="str">
        <f>HYPERLINK("http://slimages.macys.com/is/image/MCY/18760162 ")</f>
        <v xml:space="preserve">http://slimages.macys.com/is/image/MCY/18760162 </v>
      </c>
      <c r="N84" s="30"/>
    </row>
    <row r="85" spans="1:14" ht="60" x14ac:dyDescent="0.25">
      <c r="A85" s="19" t="s">
        <v>4631</v>
      </c>
      <c r="B85" s="17" t="s">
        <v>4630</v>
      </c>
      <c r="C85" s="20">
        <v>2</v>
      </c>
      <c r="D85" s="18">
        <v>89</v>
      </c>
      <c r="E85" s="20" t="s">
        <v>4629</v>
      </c>
      <c r="F85" s="17" t="s">
        <v>716</v>
      </c>
      <c r="G85" s="19" t="s">
        <v>22</v>
      </c>
      <c r="H85" s="18">
        <v>19.64</v>
      </c>
      <c r="I85" s="17" t="s">
        <v>49</v>
      </c>
      <c r="J85" s="17" t="s">
        <v>48</v>
      </c>
      <c r="K85" s="17"/>
      <c r="L85" s="17"/>
      <c r="M85" s="16" t="str">
        <f>HYPERLINK("http://slimages.macys.com/is/image/MCY/18990333 ")</f>
        <v xml:space="preserve">http://slimages.macys.com/is/image/MCY/18990333 </v>
      </c>
      <c r="N85" s="30"/>
    </row>
    <row r="86" spans="1:14" ht="60" x14ac:dyDescent="0.25">
      <c r="A86" s="19" t="s">
        <v>4628</v>
      </c>
      <c r="B86" s="17" t="s">
        <v>4627</v>
      </c>
      <c r="C86" s="20">
        <v>1</v>
      </c>
      <c r="D86" s="18">
        <v>89</v>
      </c>
      <c r="E86" s="20" t="s">
        <v>4626</v>
      </c>
      <c r="F86" s="17" t="s">
        <v>23</v>
      </c>
      <c r="G86" s="19" t="s">
        <v>17</v>
      </c>
      <c r="H86" s="18">
        <v>19.64</v>
      </c>
      <c r="I86" s="17" t="s">
        <v>49</v>
      </c>
      <c r="J86" s="17" t="s">
        <v>48</v>
      </c>
      <c r="K86" s="17"/>
      <c r="L86" s="17"/>
      <c r="M86" s="16" t="str">
        <f>HYPERLINK("http://slimages.macys.com/is/image/MCY/19352432 ")</f>
        <v xml:space="preserve">http://slimages.macys.com/is/image/MCY/19352432 </v>
      </c>
      <c r="N86" s="30"/>
    </row>
    <row r="87" spans="1:14" ht="60" x14ac:dyDescent="0.25">
      <c r="A87" s="19" t="s">
        <v>4625</v>
      </c>
      <c r="B87" s="17" t="s">
        <v>4624</v>
      </c>
      <c r="C87" s="20">
        <v>1</v>
      </c>
      <c r="D87" s="18">
        <v>89</v>
      </c>
      <c r="E87" s="20" t="s">
        <v>2053</v>
      </c>
      <c r="F87" s="17" t="s">
        <v>70</v>
      </c>
      <c r="G87" s="19" t="s">
        <v>101</v>
      </c>
      <c r="H87" s="18">
        <v>19.64</v>
      </c>
      <c r="I87" s="17" t="s">
        <v>49</v>
      </c>
      <c r="J87" s="17" t="s">
        <v>48</v>
      </c>
      <c r="K87" s="17"/>
      <c r="L87" s="17"/>
      <c r="M87" s="16" t="str">
        <f>HYPERLINK("http://slimages.macys.com/is/image/MCY/19352409 ")</f>
        <v xml:space="preserve">http://slimages.macys.com/is/image/MCY/19352409 </v>
      </c>
      <c r="N87" s="30"/>
    </row>
    <row r="88" spans="1:14" ht="60" x14ac:dyDescent="0.25">
      <c r="A88" s="19" t="s">
        <v>1316</v>
      </c>
      <c r="B88" s="17" t="s">
        <v>1315</v>
      </c>
      <c r="C88" s="20">
        <v>1</v>
      </c>
      <c r="D88" s="18">
        <v>85</v>
      </c>
      <c r="E88" s="20" t="s">
        <v>1314</v>
      </c>
      <c r="F88" s="17" t="s">
        <v>562</v>
      </c>
      <c r="G88" s="19" t="s">
        <v>69</v>
      </c>
      <c r="H88" s="18">
        <v>19.333333333333332</v>
      </c>
      <c r="I88" s="17" t="s">
        <v>133</v>
      </c>
      <c r="J88" s="17" t="s">
        <v>833</v>
      </c>
      <c r="K88" s="17"/>
      <c r="L88" s="17"/>
      <c r="M88" s="16" t="str">
        <f>HYPERLINK("http://slimages.macys.com/is/image/MCY/19305509 ")</f>
        <v xml:space="preserve">http://slimages.macys.com/is/image/MCY/19305509 </v>
      </c>
      <c r="N88" s="30"/>
    </row>
    <row r="89" spans="1:14" ht="60" x14ac:dyDescent="0.25">
      <c r="A89" s="19" t="s">
        <v>3901</v>
      </c>
      <c r="B89" s="17" t="s">
        <v>3900</v>
      </c>
      <c r="C89" s="20">
        <v>1</v>
      </c>
      <c r="D89" s="18">
        <v>99</v>
      </c>
      <c r="E89" s="20">
        <v>10807630</v>
      </c>
      <c r="F89" s="17" t="s">
        <v>578</v>
      </c>
      <c r="G89" s="19" t="s">
        <v>351</v>
      </c>
      <c r="H89" s="18">
        <v>19.14</v>
      </c>
      <c r="I89" s="17" t="s">
        <v>1307</v>
      </c>
      <c r="J89" s="17" t="s">
        <v>1306</v>
      </c>
      <c r="K89" s="17"/>
      <c r="L89" s="17"/>
      <c r="M89" s="16" t="str">
        <f>HYPERLINK("http://slimages.macys.com/is/image/MCY/19225139 ")</f>
        <v xml:space="preserve">http://slimages.macys.com/is/image/MCY/19225139 </v>
      </c>
      <c r="N89" s="30"/>
    </row>
    <row r="90" spans="1:14" ht="60" x14ac:dyDescent="0.25">
      <c r="A90" s="19" t="s">
        <v>4623</v>
      </c>
      <c r="B90" s="17" t="s">
        <v>4622</v>
      </c>
      <c r="C90" s="20">
        <v>5</v>
      </c>
      <c r="D90" s="18">
        <v>89.5</v>
      </c>
      <c r="E90" s="20" t="s">
        <v>4619</v>
      </c>
      <c r="F90" s="17" t="s">
        <v>58</v>
      </c>
      <c r="G90" s="19" t="s">
        <v>74</v>
      </c>
      <c r="H90" s="18">
        <v>19</v>
      </c>
      <c r="I90" s="17" t="s">
        <v>80</v>
      </c>
      <c r="J90" s="17" t="s">
        <v>531</v>
      </c>
      <c r="K90" s="17"/>
      <c r="L90" s="17"/>
      <c r="M90" s="16" t="str">
        <f>HYPERLINK("http://slimages.macys.com/is/image/MCY/18371461 ")</f>
        <v xml:space="preserve">http://slimages.macys.com/is/image/MCY/18371461 </v>
      </c>
      <c r="N90" s="30"/>
    </row>
    <row r="91" spans="1:14" ht="60" x14ac:dyDescent="0.25">
      <c r="A91" s="19" t="s">
        <v>4621</v>
      </c>
      <c r="B91" s="17" t="s">
        <v>4620</v>
      </c>
      <c r="C91" s="20">
        <v>35</v>
      </c>
      <c r="D91" s="18">
        <v>89.5</v>
      </c>
      <c r="E91" s="20" t="s">
        <v>4619</v>
      </c>
      <c r="F91" s="17" t="s">
        <v>58</v>
      </c>
      <c r="G91" s="19" t="s">
        <v>57</v>
      </c>
      <c r="H91" s="18">
        <v>19</v>
      </c>
      <c r="I91" s="17" t="s">
        <v>80</v>
      </c>
      <c r="J91" s="17" t="s">
        <v>531</v>
      </c>
      <c r="K91" s="17"/>
      <c r="L91" s="17"/>
      <c r="M91" s="16" t="str">
        <f>HYPERLINK("http://slimages.macys.com/is/image/MCY/18371461 ")</f>
        <v xml:space="preserve">http://slimages.macys.com/is/image/MCY/18371461 </v>
      </c>
      <c r="N91" s="30"/>
    </row>
    <row r="92" spans="1:14" ht="60" x14ac:dyDescent="0.25">
      <c r="A92" s="19" t="s">
        <v>4618</v>
      </c>
      <c r="B92" s="17" t="s">
        <v>4617</v>
      </c>
      <c r="C92" s="20">
        <v>1</v>
      </c>
      <c r="D92" s="18">
        <v>89</v>
      </c>
      <c r="E92" s="20">
        <v>7069229</v>
      </c>
      <c r="F92" s="17" t="s">
        <v>508</v>
      </c>
      <c r="G92" s="19" t="s">
        <v>17</v>
      </c>
      <c r="H92" s="18">
        <v>18.986666666666668</v>
      </c>
      <c r="I92" s="17" t="s">
        <v>111</v>
      </c>
      <c r="J92" s="17" t="s">
        <v>110</v>
      </c>
      <c r="K92" s="17" t="s">
        <v>389</v>
      </c>
      <c r="L92" s="17" t="s">
        <v>2860</v>
      </c>
      <c r="M92" s="16" t="str">
        <f>HYPERLINK("http://slimages.macys.com/is/image/MCY/15239598 ")</f>
        <v xml:space="preserve">http://slimages.macys.com/is/image/MCY/15239598 </v>
      </c>
      <c r="N92" s="30"/>
    </row>
    <row r="93" spans="1:14" ht="60" x14ac:dyDescent="0.25">
      <c r="A93" s="19" t="s">
        <v>4616</v>
      </c>
      <c r="B93" s="17" t="s">
        <v>4615</v>
      </c>
      <c r="C93" s="20">
        <v>2</v>
      </c>
      <c r="D93" s="18">
        <v>66.75</v>
      </c>
      <c r="E93" s="20">
        <v>10804510</v>
      </c>
      <c r="F93" s="17" t="s">
        <v>1356</v>
      </c>
      <c r="G93" s="19" t="s">
        <v>139</v>
      </c>
      <c r="H93" s="18">
        <v>18.693333333333332</v>
      </c>
      <c r="I93" s="17" t="s">
        <v>358</v>
      </c>
      <c r="J93" s="17" t="s">
        <v>143</v>
      </c>
      <c r="K93" s="17"/>
      <c r="L93" s="17"/>
      <c r="M93" s="16" t="str">
        <f>HYPERLINK("http://slimages.macys.com/is/image/MCY/19286707 ")</f>
        <v xml:space="preserve">http://slimages.macys.com/is/image/MCY/19286707 </v>
      </c>
      <c r="N93" s="30"/>
    </row>
    <row r="94" spans="1:14" ht="60" x14ac:dyDescent="0.25">
      <c r="A94" s="19" t="s">
        <v>4614</v>
      </c>
      <c r="B94" s="17" t="s">
        <v>4613</v>
      </c>
      <c r="C94" s="20">
        <v>1</v>
      </c>
      <c r="D94" s="18">
        <v>66.75</v>
      </c>
      <c r="E94" s="20">
        <v>10772865</v>
      </c>
      <c r="F94" s="17" t="s">
        <v>51</v>
      </c>
      <c r="G94" s="19" t="s">
        <v>644</v>
      </c>
      <c r="H94" s="18">
        <v>18.693333333333332</v>
      </c>
      <c r="I94" s="17" t="s">
        <v>33</v>
      </c>
      <c r="J94" s="17" t="s">
        <v>143</v>
      </c>
      <c r="K94" s="17"/>
      <c r="L94" s="17"/>
      <c r="M94" s="16" t="str">
        <f>HYPERLINK("http://slimages.macys.com/is/image/MCY/18014854 ")</f>
        <v xml:space="preserve">http://slimages.macys.com/is/image/MCY/18014854 </v>
      </c>
      <c r="N94" s="30"/>
    </row>
    <row r="95" spans="1:14" ht="60" x14ac:dyDescent="0.25">
      <c r="A95" s="19" t="s">
        <v>3888</v>
      </c>
      <c r="B95" s="17" t="s">
        <v>3887</v>
      </c>
      <c r="C95" s="20">
        <v>1</v>
      </c>
      <c r="D95" s="18">
        <v>74.25</v>
      </c>
      <c r="E95" s="20" t="s">
        <v>1296</v>
      </c>
      <c r="F95" s="17" t="s">
        <v>282</v>
      </c>
      <c r="G95" s="19" t="s">
        <v>1292</v>
      </c>
      <c r="H95" s="18">
        <v>18.686666666666667</v>
      </c>
      <c r="I95" s="17" t="s">
        <v>358</v>
      </c>
      <c r="J95" s="17" t="s">
        <v>32</v>
      </c>
      <c r="K95" s="17"/>
      <c r="L95" s="17"/>
      <c r="M95" s="16" t="str">
        <f>HYPERLINK("http://slimages.macys.com/is/image/MCY/19728327 ")</f>
        <v xml:space="preserve">http://slimages.macys.com/is/image/MCY/19728327 </v>
      </c>
      <c r="N95" s="30"/>
    </row>
    <row r="96" spans="1:14" ht="60" x14ac:dyDescent="0.25">
      <c r="A96" s="19" t="s">
        <v>3884</v>
      </c>
      <c r="B96" s="17" t="s">
        <v>3883</v>
      </c>
      <c r="C96" s="20">
        <v>2</v>
      </c>
      <c r="D96" s="18">
        <v>74.25</v>
      </c>
      <c r="E96" s="20" t="s">
        <v>1296</v>
      </c>
      <c r="F96" s="17" t="s">
        <v>282</v>
      </c>
      <c r="G96" s="19" t="s">
        <v>880</v>
      </c>
      <c r="H96" s="18">
        <v>18.686666666666667</v>
      </c>
      <c r="I96" s="17" t="s">
        <v>358</v>
      </c>
      <c r="J96" s="17" t="s">
        <v>32</v>
      </c>
      <c r="K96" s="17"/>
      <c r="L96" s="17"/>
      <c r="M96" s="16" t="str">
        <f>HYPERLINK("http://slimages.macys.com/is/image/MCY/19728327 ")</f>
        <v xml:space="preserve">http://slimages.macys.com/is/image/MCY/19728327 </v>
      </c>
      <c r="N96" s="30"/>
    </row>
    <row r="97" spans="1:14" ht="60" x14ac:dyDescent="0.25">
      <c r="A97" s="19" t="s">
        <v>3882</v>
      </c>
      <c r="B97" s="17" t="s">
        <v>2856</v>
      </c>
      <c r="C97" s="20">
        <v>1</v>
      </c>
      <c r="D97" s="18">
        <v>74.25</v>
      </c>
      <c r="E97" s="20" t="s">
        <v>1296</v>
      </c>
      <c r="F97" s="17" t="s">
        <v>282</v>
      </c>
      <c r="G97" s="19" t="s">
        <v>1445</v>
      </c>
      <c r="H97" s="18">
        <v>18.686666666666667</v>
      </c>
      <c r="I97" s="17" t="s">
        <v>358</v>
      </c>
      <c r="J97" s="17" t="s">
        <v>32</v>
      </c>
      <c r="K97" s="17"/>
      <c r="L97" s="17"/>
      <c r="M97" s="16" t="str">
        <f>HYPERLINK("http://slimages.macys.com/is/image/MCY/19728327 ")</f>
        <v xml:space="preserve">http://slimages.macys.com/is/image/MCY/19728327 </v>
      </c>
      <c r="N97" s="30"/>
    </row>
    <row r="98" spans="1:14" ht="60" x14ac:dyDescent="0.25">
      <c r="A98" s="19" t="s">
        <v>3886</v>
      </c>
      <c r="B98" s="17" t="s">
        <v>3885</v>
      </c>
      <c r="C98" s="20">
        <v>1</v>
      </c>
      <c r="D98" s="18">
        <v>74.25</v>
      </c>
      <c r="E98" s="20" t="s">
        <v>2855</v>
      </c>
      <c r="F98" s="17" t="s">
        <v>282</v>
      </c>
      <c r="G98" s="19" t="s">
        <v>916</v>
      </c>
      <c r="H98" s="18">
        <v>18.686666666666667</v>
      </c>
      <c r="I98" s="17" t="s">
        <v>358</v>
      </c>
      <c r="J98" s="17" t="s">
        <v>32</v>
      </c>
      <c r="K98" s="17"/>
      <c r="L98" s="17"/>
      <c r="M98" s="16" t="str">
        <f>HYPERLINK("http://slimages.macys.com/is/image/MCY/18747202 ")</f>
        <v xml:space="preserve">http://slimages.macys.com/is/image/MCY/18747202 </v>
      </c>
      <c r="N98" s="30"/>
    </row>
    <row r="99" spans="1:14" ht="60" x14ac:dyDescent="0.25">
      <c r="A99" s="19" t="s">
        <v>1284</v>
      </c>
      <c r="B99" s="17" t="s">
        <v>1283</v>
      </c>
      <c r="C99" s="20">
        <v>6</v>
      </c>
      <c r="D99" s="18">
        <v>68</v>
      </c>
      <c r="E99" s="20" t="s">
        <v>1282</v>
      </c>
      <c r="F99" s="17" t="s">
        <v>23</v>
      </c>
      <c r="G99" s="19" t="s">
        <v>69</v>
      </c>
      <c r="H99" s="18">
        <v>18.666666666666668</v>
      </c>
      <c r="I99" s="17" t="s">
        <v>133</v>
      </c>
      <c r="J99" s="17" t="s">
        <v>833</v>
      </c>
      <c r="K99" s="17"/>
      <c r="L99" s="17"/>
      <c r="M99" s="16" t="str">
        <f>HYPERLINK("http://slimages.macys.com/is/image/MCY/19304674 ")</f>
        <v xml:space="preserve">http://slimages.macys.com/is/image/MCY/19304674 </v>
      </c>
      <c r="N99" s="30"/>
    </row>
    <row r="100" spans="1:14" ht="60" x14ac:dyDescent="0.25">
      <c r="A100" s="19" t="s">
        <v>4612</v>
      </c>
      <c r="B100" s="17" t="s">
        <v>4611</v>
      </c>
      <c r="C100" s="20">
        <v>1</v>
      </c>
      <c r="D100" s="18">
        <v>89</v>
      </c>
      <c r="E100" s="20" t="s">
        <v>4610</v>
      </c>
      <c r="F100" s="17" t="s">
        <v>58</v>
      </c>
      <c r="G100" s="19" t="s">
        <v>62</v>
      </c>
      <c r="H100" s="18">
        <v>18.513333333333335</v>
      </c>
      <c r="I100" s="17" t="s">
        <v>4609</v>
      </c>
      <c r="J100" s="17" t="s">
        <v>4608</v>
      </c>
      <c r="K100" s="17"/>
      <c r="L100" s="17"/>
      <c r="M100" s="16" t="str">
        <f>HYPERLINK("http://slimages.macys.com/is/image/MCY/18102843 ")</f>
        <v xml:space="preserve">http://slimages.macys.com/is/image/MCY/18102843 </v>
      </c>
      <c r="N100" s="30"/>
    </row>
    <row r="101" spans="1:14" ht="60" x14ac:dyDescent="0.25">
      <c r="A101" s="19" t="s">
        <v>4607</v>
      </c>
      <c r="B101" s="17" t="s">
        <v>4606</v>
      </c>
      <c r="C101" s="20">
        <v>1</v>
      </c>
      <c r="D101" s="18">
        <v>89</v>
      </c>
      <c r="E101" s="20">
        <v>10769848</v>
      </c>
      <c r="F101" s="17" t="s">
        <v>23</v>
      </c>
      <c r="G101" s="19" t="s">
        <v>898</v>
      </c>
      <c r="H101" s="18">
        <v>18.393333333333334</v>
      </c>
      <c r="I101" s="17" t="s">
        <v>144</v>
      </c>
      <c r="J101" s="17" t="s">
        <v>143</v>
      </c>
      <c r="K101" s="17"/>
      <c r="L101" s="17"/>
      <c r="M101" s="16" t="str">
        <f>HYPERLINK("http://slimages.macys.com/is/image/MCY/18601379 ")</f>
        <v xml:space="preserve">http://slimages.macys.com/is/image/MCY/18601379 </v>
      </c>
      <c r="N101" s="30"/>
    </row>
    <row r="102" spans="1:14" ht="60" x14ac:dyDescent="0.25">
      <c r="A102" s="19" t="s">
        <v>4605</v>
      </c>
      <c r="B102" s="17" t="s">
        <v>4604</v>
      </c>
      <c r="C102" s="20">
        <v>1</v>
      </c>
      <c r="D102" s="18">
        <v>79</v>
      </c>
      <c r="E102" s="20" t="s">
        <v>4603</v>
      </c>
      <c r="F102" s="17" t="s">
        <v>58</v>
      </c>
      <c r="G102" s="19" t="s">
        <v>116</v>
      </c>
      <c r="H102" s="18">
        <v>18.333333333333336</v>
      </c>
      <c r="I102" s="17" t="s">
        <v>148</v>
      </c>
      <c r="J102" s="17" t="s">
        <v>409</v>
      </c>
      <c r="K102" s="17"/>
      <c r="L102" s="17"/>
      <c r="M102" s="16" t="str">
        <f>HYPERLINK("http://slimages.macys.com/is/image/MCY/18478058 ")</f>
        <v xml:space="preserve">http://slimages.macys.com/is/image/MCY/18478058 </v>
      </c>
      <c r="N102" s="30"/>
    </row>
    <row r="103" spans="1:14" ht="60" x14ac:dyDescent="0.25">
      <c r="A103" s="19" t="s">
        <v>4602</v>
      </c>
      <c r="B103" s="17" t="s">
        <v>4601</v>
      </c>
      <c r="C103" s="20">
        <v>2</v>
      </c>
      <c r="D103" s="18">
        <v>99</v>
      </c>
      <c r="E103" s="20" t="s">
        <v>633</v>
      </c>
      <c r="F103" s="17" t="s">
        <v>23</v>
      </c>
      <c r="G103" s="19" t="s">
        <v>197</v>
      </c>
      <c r="H103" s="18">
        <v>18.28</v>
      </c>
      <c r="I103" s="17" t="s">
        <v>405</v>
      </c>
      <c r="J103" s="17" t="s">
        <v>404</v>
      </c>
      <c r="K103" s="17"/>
      <c r="L103" s="17"/>
      <c r="M103" s="16" t="str">
        <f>HYPERLINK("http://slimages.macys.com/is/image/MCY/18223895 ")</f>
        <v xml:space="preserve">http://slimages.macys.com/is/image/MCY/18223895 </v>
      </c>
      <c r="N103" s="30"/>
    </row>
    <row r="104" spans="1:14" ht="60" x14ac:dyDescent="0.25">
      <c r="A104" s="19" t="s">
        <v>4600</v>
      </c>
      <c r="B104" s="17" t="s">
        <v>4599</v>
      </c>
      <c r="C104" s="20">
        <v>1</v>
      </c>
      <c r="D104" s="18">
        <v>109</v>
      </c>
      <c r="E104" s="20">
        <v>30157516</v>
      </c>
      <c r="F104" s="17" t="s">
        <v>345</v>
      </c>
      <c r="G104" s="19" t="s">
        <v>69</v>
      </c>
      <c r="H104" s="18">
        <v>18.166666666666668</v>
      </c>
      <c r="I104" s="17" t="s">
        <v>481</v>
      </c>
      <c r="J104" s="17" t="s">
        <v>480</v>
      </c>
      <c r="K104" s="17"/>
      <c r="L104" s="17"/>
      <c r="M104" s="16" t="str">
        <f>HYPERLINK("http://slimages.macys.com/is/image/MCY/21168114 ")</f>
        <v xml:space="preserve">http://slimages.macys.com/is/image/MCY/21168114 </v>
      </c>
      <c r="N104" s="30"/>
    </row>
    <row r="105" spans="1:14" ht="60" x14ac:dyDescent="0.25">
      <c r="A105" s="19" t="s">
        <v>4598</v>
      </c>
      <c r="B105" s="17" t="s">
        <v>4597</v>
      </c>
      <c r="C105" s="20">
        <v>1</v>
      </c>
      <c r="D105" s="18">
        <v>89.5</v>
      </c>
      <c r="E105" s="20" t="s">
        <v>4594</v>
      </c>
      <c r="F105" s="17" t="s">
        <v>51</v>
      </c>
      <c r="G105" s="19" t="s">
        <v>69</v>
      </c>
      <c r="H105" s="18">
        <v>18.033333333333335</v>
      </c>
      <c r="I105" s="17" t="s">
        <v>106</v>
      </c>
      <c r="J105" s="17" t="s">
        <v>105</v>
      </c>
      <c r="K105" s="17"/>
      <c r="L105" s="17"/>
      <c r="M105" s="16" t="str">
        <f>HYPERLINK("http://slimages.macys.com/is/image/MCY/19965869 ")</f>
        <v xml:space="preserve">http://slimages.macys.com/is/image/MCY/19965869 </v>
      </c>
      <c r="N105" s="30"/>
    </row>
    <row r="106" spans="1:14" ht="60" x14ac:dyDescent="0.25">
      <c r="A106" s="19" t="s">
        <v>4596</v>
      </c>
      <c r="B106" s="17" t="s">
        <v>4595</v>
      </c>
      <c r="C106" s="20">
        <v>1</v>
      </c>
      <c r="D106" s="18">
        <v>89.5</v>
      </c>
      <c r="E106" s="20" t="s">
        <v>4594</v>
      </c>
      <c r="F106" s="17" t="s">
        <v>51</v>
      </c>
      <c r="G106" s="19" t="s">
        <v>197</v>
      </c>
      <c r="H106" s="18">
        <v>18.033333333333335</v>
      </c>
      <c r="I106" s="17" t="s">
        <v>106</v>
      </c>
      <c r="J106" s="17" t="s">
        <v>105</v>
      </c>
      <c r="K106" s="17"/>
      <c r="L106" s="17"/>
      <c r="M106" s="16" t="str">
        <f>HYPERLINK("http://slimages.macys.com/is/image/MCY/19965869 ")</f>
        <v xml:space="preserve">http://slimages.macys.com/is/image/MCY/19965869 </v>
      </c>
      <c r="N106" s="30"/>
    </row>
    <row r="107" spans="1:14" ht="60" x14ac:dyDescent="0.25">
      <c r="A107" s="19" t="s">
        <v>4593</v>
      </c>
      <c r="B107" s="17" t="s">
        <v>4592</v>
      </c>
      <c r="C107" s="20">
        <v>1</v>
      </c>
      <c r="D107" s="18">
        <v>89.5</v>
      </c>
      <c r="E107" s="20" t="s">
        <v>4591</v>
      </c>
      <c r="F107" s="17" t="s">
        <v>578</v>
      </c>
      <c r="G107" s="19" t="s">
        <v>197</v>
      </c>
      <c r="H107" s="18">
        <v>18.033333333333335</v>
      </c>
      <c r="I107" s="17" t="s">
        <v>106</v>
      </c>
      <c r="J107" s="17" t="s">
        <v>105</v>
      </c>
      <c r="K107" s="17"/>
      <c r="L107" s="17"/>
      <c r="M107" s="16" t="str">
        <f>HYPERLINK("http://slimages.macys.com/is/image/MCY/19195427 ")</f>
        <v xml:space="preserve">http://slimages.macys.com/is/image/MCY/19195427 </v>
      </c>
      <c r="N107" s="30"/>
    </row>
    <row r="108" spans="1:14" ht="60" x14ac:dyDescent="0.25">
      <c r="A108" s="19" t="s">
        <v>3863</v>
      </c>
      <c r="B108" s="17" t="s">
        <v>3862</v>
      </c>
      <c r="C108" s="20">
        <v>2</v>
      </c>
      <c r="D108" s="18">
        <v>89</v>
      </c>
      <c r="E108" s="20">
        <v>10811406</v>
      </c>
      <c r="F108" s="17" t="s">
        <v>555</v>
      </c>
      <c r="G108" s="19" t="s">
        <v>1292</v>
      </c>
      <c r="H108" s="18">
        <v>17.8</v>
      </c>
      <c r="I108" s="17" t="s">
        <v>358</v>
      </c>
      <c r="J108" s="17" t="s">
        <v>554</v>
      </c>
      <c r="K108" s="17"/>
      <c r="L108" s="17"/>
      <c r="M108" s="16" t="str">
        <f>HYPERLINK("http://slimages.macys.com/is/image/MCY/19634003 ")</f>
        <v xml:space="preserve">http://slimages.macys.com/is/image/MCY/19634003 </v>
      </c>
      <c r="N108" s="30"/>
    </row>
    <row r="109" spans="1:14" ht="60" x14ac:dyDescent="0.25">
      <c r="A109" s="19" t="s">
        <v>4590</v>
      </c>
      <c r="B109" s="17" t="s">
        <v>4589</v>
      </c>
      <c r="C109" s="20">
        <v>1</v>
      </c>
      <c r="D109" s="18">
        <v>89</v>
      </c>
      <c r="E109" s="20">
        <v>10770864</v>
      </c>
      <c r="F109" s="17" t="s">
        <v>558</v>
      </c>
      <c r="G109" s="19" t="s">
        <v>857</v>
      </c>
      <c r="H109" s="18">
        <v>17.8</v>
      </c>
      <c r="I109" s="17" t="s">
        <v>115</v>
      </c>
      <c r="J109" s="17" t="s">
        <v>1265</v>
      </c>
      <c r="K109" s="17"/>
      <c r="L109" s="17"/>
      <c r="M109" s="16" t="str">
        <f>HYPERLINK("http://slimages.macys.com/is/image/MCY/16893094 ")</f>
        <v xml:space="preserve">http://slimages.macys.com/is/image/MCY/16893094 </v>
      </c>
      <c r="N109" s="30"/>
    </row>
    <row r="110" spans="1:14" ht="60" x14ac:dyDescent="0.25">
      <c r="A110" s="19" t="s">
        <v>4588</v>
      </c>
      <c r="B110" s="17" t="s">
        <v>4587</v>
      </c>
      <c r="C110" s="20">
        <v>1</v>
      </c>
      <c r="D110" s="18">
        <v>89</v>
      </c>
      <c r="E110" s="20" t="s">
        <v>4586</v>
      </c>
      <c r="F110" s="17" t="s">
        <v>413</v>
      </c>
      <c r="G110" s="19" t="s">
        <v>658</v>
      </c>
      <c r="H110" s="18">
        <v>17.8</v>
      </c>
      <c r="I110" s="17" t="s">
        <v>678</v>
      </c>
      <c r="J110" s="17" t="s">
        <v>404</v>
      </c>
      <c r="K110" s="17"/>
      <c r="L110" s="17"/>
      <c r="M110" s="16" t="str">
        <f>HYPERLINK("http://slimages.macys.com/is/image/MCY/19831307 ")</f>
        <v xml:space="preserve">http://slimages.macys.com/is/image/MCY/19831307 </v>
      </c>
      <c r="N110" s="30"/>
    </row>
    <row r="111" spans="1:14" ht="60" x14ac:dyDescent="0.25">
      <c r="A111" s="19" t="s">
        <v>4585</v>
      </c>
      <c r="B111" s="17" t="s">
        <v>4584</v>
      </c>
      <c r="C111" s="20">
        <v>1</v>
      </c>
      <c r="D111" s="18">
        <v>89</v>
      </c>
      <c r="E111" s="20" t="s">
        <v>4583</v>
      </c>
      <c r="F111" s="17" t="s">
        <v>58</v>
      </c>
      <c r="G111" s="19" t="s">
        <v>1862</v>
      </c>
      <c r="H111" s="18">
        <v>17.8</v>
      </c>
      <c r="I111" s="17" t="s">
        <v>678</v>
      </c>
      <c r="J111" s="17" t="s">
        <v>404</v>
      </c>
      <c r="K111" s="17"/>
      <c r="L111" s="17"/>
      <c r="M111" s="16" t="str">
        <f>HYPERLINK("http://slimages.macys.com/is/image/MCY/18267520 ")</f>
        <v xml:space="preserve">http://slimages.macys.com/is/image/MCY/18267520 </v>
      </c>
      <c r="N111" s="30"/>
    </row>
    <row r="112" spans="1:14" ht="60" x14ac:dyDescent="0.25">
      <c r="A112" s="19" t="s">
        <v>3861</v>
      </c>
      <c r="B112" s="17" t="s">
        <v>3860</v>
      </c>
      <c r="C112" s="20">
        <v>3</v>
      </c>
      <c r="D112" s="18">
        <v>89</v>
      </c>
      <c r="E112" s="20">
        <v>10811406</v>
      </c>
      <c r="F112" s="17" t="s">
        <v>555</v>
      </c>
      <c r="G112" s="19" t="s">
        <v>880</v>
      </c>
      <c r="H112" s="18">
        <v>17.8</v>
      </c>
      <c r="I112" s="17" t="s">
        <v>358</v>
      </c>
      <c r="J112" s="17" t="s">
        <v>554</v>
      </c>
      <c r="K112" s="17"/>
      <c r="L112" s="17"/>
      <c r="M112" s="16" t="str">
        <f>HYPERLINK("http://slimages.macys.com/is/image/MCY/19634003 ")</f>
        <v xml:space="preserve">http://slimages.macys.com/is/image/MCY/19634003 </v>
      </c>
      <c r="N112" s="30"/>
    </row>
    <row r="113" spans="1:14" ht="60" x14ac:dyDescent="0.25">
      <c r="A113" s="19" t="s">
        <v>4582</v>
      </c>
      <c r="B113" s="17" t="s">
        <v>4581</v>
      </c>
      <c r="C113" s="20">
        <v>1</v>
      </c>
      <c r="D113" s="18">
        <v>79</v>
      </c>
      <c r="E113" s="20" t="s">
        <v>2834</v>
      </c>
      <c r="F113" s="17" t="s">
        <v>345</v>
      </c>
      <c r="G113" s="19" t="s">
        <v>62</v>
      </c>
      <c r="H113" s="18">
        <v>17.433333333333337</v>
      </c>
      <c r="I113" s="17" t="s">
        <v>49</v>
      </c>
      <c r="J113" s="17" t="s">
        <v>48</v>
      </c>
      <c r="K113" s="17"/>
      <c r="L113" s="17"/>
      <c r="M113" s="16" t="str">
        <f>HYPERLINK("http://slimages.macys.com/is/image/MCY/19136704 ")</f>
        <v xml:space="preserve">http://slimages.macys.com/is/image/MCY/19136704 </v>
      </c>
      <c r="N113" s="30"/>
    </row>
    <row r="114" spans="1:14" ht="60" x14ac:dyDescent="0.25">
      <c r="A114" s="19" t="s">
        <v>4580</v>
      </c>
      <c r="B114" s="17" t="s">
        <v>4579</v>
      </c>
      <c r="C114" s="20">
        <v>1</v>
      </c>
      <c r="D114" s="18">
        <v>79</v>
      </c>
      <c r="E114" s="20" t="s">
        <v>2831</v>
      </c>
      <c r="F114" s="17" t="s">
        <v>23</v>
      </c>
      <c r="G114" s="19" t="s">
        <v>101</v>
      </c>
      <c r="H114" s="18">
        <v>17.433333333333337</v>
      </c>
      <c r="I114" s="17" t="s">
        <v>49</v>
      </c>
      <c r="J114" s="17" t="s">
        <v>48</v>
      </c>
      <c r="K114" s="17"/>
      <c r="L114" s="17"/>
      <c r="M114" s="16" t="str">
        <f>HYPERLINK("http://slimages.macys.com/is/image/MCY/19352389 ")</f>
        <v xml:space="preserve">http://slimages.macys.com/is/image/MCY/19352389 </v>
      </c>
      <c r="N114" s="30"/>
    </row>
    <row r="115" spans="1:14" ht="60" x14ac:dyDescent="0.25">
      <c r="A115" s="19" t="s">
        <v>600</v>
      </c>
      <c r="B115" s="17" t="s">
        <v>599</v>
      </c>
      <c r="C115" s="20">
        <v>1</v>
      </c>
      <c r="D115" s="18">
        <v>79</v>
      </c>
      <c r="E115" s="20" t="s">
        <v>598</v>
      </c>
      <c r="F115" s="17" t="s">
        <v>70</v>
      </c>
      <c r="G115" s="19" t="s">
        <v>17</v>
      </c>
      <c r="H115" s="18">
        <v>17.433333333333337</v>
      </c>
      <c r="I115" s="17" t="s">
        <v>49</v>
      </c>
      <c r="J115" s="17" t="s">
        <v>48</v>
      </c>
      <c r="K115" s="17"/>
      <c r="L115" s="17"/>
      <c r="M115" s="16" t="str">
        <f>HYPERLINK("http://slimages.macys.com/is/image/MCY/18098017 ")</f>
        <v xml:space="preserve">http://slimages.macys.com/is/image/MCY/18098017 </v>
      </c>
      <c r="N115" s="30"/>
    </row>
    <row r="116" spans="1:14" ht="60" x14ac:dyDescent="0.25">
      <c r="A116" s="19" t="s">
        <v>4578</v>
      </c>
      <c r="B116" s="17" t="s">
        <v>4577</v>
      </c>
      <c r="C116" s="20">
        <v>2</v>
      </c>
      <c r="D116" s="18">
        <v>89</v>
      </c>
      <c r="E116" s="20">
        <v>10776256</v>
      </c>
      <c r="F116" s="17" t="s">
        <v>23</v>
      </c>
      <c r="G116" s="19" t="s">
        <v>116</v>
      </c>
      <c r="H116" s="18">
        <v>17.206666666666667</v>
      </c>
      <c r="I116" s="17" t="s">
        <v>120</v>
      </c>
      <c r="J116" s="17" t="s">
        <v>119</v>
      </c>
      <c r="K116" s="17"/>
      <c r="L116" s="17"/>
      <c r="M116" s="16" t="str">
        <f>HYPERLINK("http://slimages.macys.com/is/image/MCY/19161508 ")</f>
        <v xml:space="preserve">http://slimages.macys.com/is/image/MCY/19161508 </v>
      </c>
      <c r="N116" s="30"/>
    </row>
    <row r="117" spans="1:14" ht="60" x14ac:dyDescent="0.25">
      <c r="A117" s="19" t="s">
        <v>4576</v>
      </c>
      <c r="B117" s="17" t="s">
        <v>4575</v>
      </c>
      <c r="C117" s="20">
        <v>1</v>
      </c>
      <c r="D117" s="18">
        <v>74.25</v>
      </c>
      <c r="E117" s="20" t="s">
        <v>4574</v>
      </c>
      <c r="F117" s="17" t="s">
        <v>51</v>
      </c>
      <c r="G117" s="19" t="s">
        <v>1292</v>
      </c>
      <c r="H117" s="18">
        <v>17.073333333333334</v>
      </c>
      <c r="I117" s="17" t="s">
        <v>358</v>
      </c>
      <c r="J117" s="17" t="s">
        <v>32</v>
      </c>
      <c r="K117" s="17" t="s">
        <v>389</v>
      </c>
      <c r="L117" s="17" t="s">
        <v>4573</v>
      </c>
      <c r="M117" s="16" t="str">
        <f>HYPERLINK("http://slimages.macys.com/is/image/MCY/10751321 ")</f>
        <v xml:space="preserve">http://slimages.macys.com/is/image/MCY/10751321 </v>
      </c>
      <c r="N117" s="30"/>
    </row>
    <row r="118" spans="1:14" ht="60" x14ac:dyDescent="0.25">
      <c r="A118" s="19" t="s">
        <v>4572</v>
      </c>
      <c r="B118" s="17" t="s">
        <v>4571</v>
      </c>
      <c r="C118" s="20">
        <v>1</v>
      </c>
      <c r="D118" s="18">
        <v>89.5</v>
      </c>
      <c r="E118" s="20" t="s">
        <v>3832</v>
      </c>
      <c r="F118" s="17" t="s">
        <v>23</v>
      </c>
      <c r="G118" s="19" t="s">
        <v>880</v>
      </c>
      <c r="H118" s="18">
        <v>17.006666666666668</v>
      </c>
      <c r="I118" s="17" t="s">
        <v>540</v>
      </c>
      <c r="J118" s="17" t="s">
        <v>105</v>
      </c>
      <c r="K118" s="17"/>
      <c r="L118" s="17"/>
      <c r="M118" s="16" t="str">
        <f>HYPERLINK("http://slimages.macys.com/is/image/MCY/18438641 ")</f>
        <v xml:space="preserve">http://slimages.macys.com/is/image/MCY/18438641 </v>
      </c>
      <c r="N118" s="30"/>
    </row>
    <row r="119" spans="1:14" ht="60" x14ac:dyDescent="0.25">
      <c r="A119" s="19" t="s">
        <v>3834</v>
      </c>
      <c r="B119" s="17" t="s">
        <v>3833</v>
      </c>
      <c r="C119" s="20">
        <v>1</v>
      </c>
      <c r="D119" s="18">
        <v>89.5</v>
      </c>
      <c r="E119" s="20" t="s">
        <v>3832</v>
      </c>
      <c r="F119" s="17" t="s">
        <v>23</v>
      </c>
      <c r="G119" s="19" t="s">
        <v>1191</v>
      </c>
      <c r="H119" s="18">
        <v>17.006666666666668</v>
      </c>
      <c r="I119" s="17" t="s">
        <v>540</v>
      </c>
      <c r="J119" s="17" t="s">
        <v>105</v>
      </c>
      <c r="K119" s="17"/>
      <c r="L119" s="17"/>
      <c r="M119" s="16" t="str">
        <f>HYPERLINK("http://slimages.macys.com/is/image/MCY/18438641 ")</f>
        <v xml:space="preserve">http://slimages.macys.com/is/image/MCY/18438641 </v>
      </c>
      <c r="N119" s="30"/>
    </row>
    <row r="120" spans="1:14" ht="60" x14ac:dyDescent="0.25">
      <c r="A120" s="19" t="s">
        <v>4570</v>
      </c>
      <c r="B120" s="17" t="s">
        <v>4569</v>
      </c>
      <c r="C120" s="20">
        <v>33</v>
      </c>
      <c r="D120" s="18">
        <v>89.5</v>
      </c>
      <c r="E120" s="20" t="s">
        <v>4568</v>
      </c>
      <c r="F120" s="17" t="s">
        <v>23</v>
      </c>
      <c r="G120" s="19" t="s">
        <v>351</v>
      </c>
      <c r="H120" s="18">
        <v>17.006666666666668</v>
      </c>
      <c r="I120" s="17" t="s">
        <v>540</v>
      </c>
      <c r="J120" s="17" t="s">
        <v>105</v>
      </c>
      <c r="K120" s="17"/>
      <c r="L120" s="17"/>
      <c r="M120" s="16" t="str">
        <f>HYPERLINK("http://slimages.macys.com/is/image/MCY/19216344 ")</f>
        <v xml:space="preserve">http://slimages.macys.com/is/image/MCY/19216344 </v>
      </c>
      <c r="N120" s="30"/>
    </row>
    <row r="121" spans="1:14" ht="60" x14ac:dyDescent="0.25">
      <c r="A121" s="19" t="s">
        <v>4567</v>
      </c>
      <c r="B121" s="17" t="s">
        <v>4566</v>
      </c>
      <c r="C121" s="20">
        <v>1</v>
      </c>
      <c r="D121" s="18">
        <v>89.5</v>
      </c>
      <c r="E121" s="20" t="s">
        <v>4565</v>
      </c>
      <c r="F121" s="17" t="s">
        <v>58</v>
      </c>
      <c r="G121" s="19" t="s">
        <v>351</v>
      </c>
      <c r="H121" s="18">
        <v>17.006666666666668</v>
      </c>
      <c r="I121" s="17" t="s">
        <v>540</v>
      </c>
      <c r="J121" s="17" t="s">
        <v>105</v>
      </c>
      <c r="K121" s="17"/>
      <c r="L121" s="17"/>
      <c r="M121" s="16" t="str">
        <f>HYPERLINK("http://slimages.macys.com/is/image/MCY/19216094 ")</f>
        <v xml:space="preserve">http://slimages.macys.com/is/image/MCY/19216094 </v>
      </c>
      <c r="N121" s="30"/>
    </row>
    <row r="122" spans="1:14" ht="60" x14ac:dyDescent="0.25">
      <c r="A122" s="19" t="s">
        <v>4564</v>
      </c>
      <c r="B122" s="17" t="s">
        <v>4563</v>
      </c>
      <c r="C122" s="20">
        <v>1</v>
      </c>
      <c r="D122" s="18">
        <v>89</v>
      </c>
      <c r="E122" s="20" t="s">
        <v>4562</v>
      </c>
      <c r="F122" s="17" t="s">
        <v>51</v>
      </c>
      <c r="G122" s="19" t="s">
        <v>1445</v>
      </c>
      <c r="H122" s="18">
        <v>16.913333333333334</v>
      </c>
      <c r="I122" s="17" t="s">
        <v>540</v>
      </c>
      <c r="J122" s="17" t="s">
        <v>105</v>
      </c>
      <c r="K122" s="17" t="s">
        <v>389</v>
      </c>
      <c r="L122" s="17" t="s">
        <v>1359</v>
      </c>
      <c r="M122" s="16" t="str">
        <f>HYPERLINK("http://slimages.macys.com/is/image/MCY/10048495 ")</f>
        <v xml:space="preserve">http://slimages.macys.com/is/image/MCY/10048495 </v>
      </c>
      <c r="N122" s="30"/>
    </row>
    <row r="123" spans="1:14" ht="108" x14ac:dyDescent="0.25">
      <c r="A123" s="19" t="s">
        <v>4561</v>
      </c>
      <c r="B123" s="17" t="s">
        <v>4560</v>
      </c>
      <c r="C123" s="20">
        <v>1</v>
      </c>
      <c r="D123" s="18">
        <v>69</v>
      </c>
      <c r="E123" s="20" t="s">
        <v>4559</v>
      </c>
      <c r="F123" s="17" t="s">
        <v>51</v>
      </c>
      <c r="G123" s="19" t="s">
        <v>749</v>
      </c>
      <c r="H123" s="18">
        <v>16.853333333333335</v>
      </c>
      <c r="I123" s="17" t="s">
        <v>1363</v>
      </c>
      <c r="J123" s="17" t="s">
        <v>1362</v>
      </c>
      <c r="K123" s="17" t="s">
        <v>637</v>
      </c>
      <c r="L123" s="17" t="s">
        <v>4558</v>
      </c>
      <c r="M123" s="16" t="str">
        <f>HYPERLINK("http://images.bloomingdales.com/is/image/BLM/11388065 ")</f>
        <v xml:space="preserve">http://images.bloomingdales.com/is/image/BLM/11388065 </v>
      </c>
      <c r="N123" s="30"/>
    </row>
    <row r="124" spans="1:14" ht="60" x14ac:dyDescent="0.25">
      <c r="A124" s="19" t="s">
        <v>3827</v>
      </c>
      <c r="B124" s="17" t="s">
        <v>3826</v>
      </c>
      <c r="C124" s="20">
        <v>1</v>
      </c>
      <c r="D124" s="18">
        <v>89.5</v>
      </c>
      <c r="E124" s="20" t="s">
        <v>2822</v>
      </c>
      <c r="F124" s="17" t="s">
        <v>28</v>
      </c>
      <c r="G124" s="19" t="s">
        <v>139</v>
      </c>
      <c r="H124" s="18">
        <v>16.853333333333335</v>
      </c>
      <c r="I124" s="17" t="s">
        <v>1891</v>
      </c>
      <c r="J124" s="17" t="s">
        <v>67</v>
      </c>
      <c r="K124" s="17"/>
      <c r="L124" s="17"/>
      <c r="M124" s="16" t="str">
        <f>HYPERLINK("http://slimages.macys.com/is/image/MCY/18981155 ")</f>
        <v xml:space="preserve">http://slimages.macys.com/is/image/MCY/18981155 </v>
      </c>
      <c r="N124" s="30"/>
    </row>
    <row r="125" spans="1:14" ht="60" x14ac:dyDescent="0.25">
      <c r="A125" s="19" t="s">
        <v>4557</v>
      </c>
      <c r="B125" s="17" t="s">
        <v>4556</v>
      </c>
      <c r="C125" s="20">
        <v>3</v>
      </c>
      <c r="D125" s="18">
        <v>89.5</v>
      </c>
      <c r="E125" s="20" t="s">
        <v>4555</v>
      </c>
      <c r="F125" s="17" t="s">
        <v>140</v>
      </c>
      <c r="G125" s="19" t="s">
        <v>658</v>
      </c>
      <c r="H125" s="18">
        <v>16.853333333333335</v>
      </c>
      <c r="I125" s="17" t="s">
        <v>68</v>
      </c>
      <c r="J125" s="17" t="s">
        <v>67</v>
      </c>
      <c r="K125" s="17"/>
      <c r="L125" s="17"/>
      <c r="M125" s="16" t="str">
        <f>HYPERLINK("http://slimages.macys.com/is/image/MCY/19241148 ")</f>
        <v xml:space="preserve">http://slimages.macys.com/is/image/MCY/19241148 </v>
      </c>
      <c r="N125" s="30"/>
    </row>
    <row r="126" spans="1:14" ht="60" x14ac:dyDescent="0.25">
      <c r="A126" s="19" t="s">
        <v>4554</v>
      </c>
      <c r="B126" s="17" t="s">
        <v>4553</v>
      </c>
      <c r="C126" s="20">
        <v>1</v>
      </c>
      <c r="D126" s="18">
        <v>79</v>
      </c>
      <c r="E126" s="20">
        <v>7051202</v>
      </c>
      <c r="F126" s="17" t="s">
        <v>508</v>
      </c>
      <c r="G126" s="19" t="s">
        <v>50</v>
      </c>
      <c r="H126" s="18">
        <v>16.853333333333335</v>
      </c>
      <c r="I126" s="17" t="s">
        <v>111</v>
      </c>
      <c r="J126" s="17" t="s">
        <v>110</v>
      </c>
      <c r="K126" s="17"/>
      <c r="L126" s="17"/>
      <c r="M126" s="16" t="str">
        <f>HYPERLINK("http://slimages.macys.com/is/image/MCY/19850415 ")</f>
        <v xml:space="preserve">http://slimages.macys.com/is/image/MCY/19850415 </v>
      </c>
      <c r="N126" s="30"/>
    </row>
    <row r="127" spans="1:14" ht="60" x14ac:dyDescent="0.25">
      <c r="A127" s="19" t="s">
        <v>4552</v>
      </c>
      <c r="B127" s="17" t="s">
        <v>4551</v>
      </c>
      <c r="C127" s="20">
        <v>1</v>
      </c>
      <c r="D127" s="18">
        <v>66.75</v>
      </c>
      <c r="E127" s="20">
        <v>10688320</v>
      </c>
      <c r="F127" s="17" t="s">
        <v>51</v>
      </c>
      <c r="G127" s="19" t="s">
        <v>880</v>
      </c>
      <c r="H127" s="18">
        <v>16.82</v>
      </c>
      <c r="I127" s="17" t="s">
        <v>358</v>
      </c>
      <c r="J127" s="17" t="s">
        <v>143</v>
      </c>
      <c r="K127" s="17" t="s">
        <v>389</v>
      </c>
      <c r="L127" s="17" t="s">
        <v>662</v>
      </c>
      <c r="M127" s="16" t="str">
        <f>HYPERLINK("http://slimages.macys.com/is/image/MCY/9936885 ")</f>
        <v xml:space="preserve">http://slimages.macys.com/is/image/MCY/9936885 </v>
      </c>
      <c r="N127" s="30"/>
    </row>
    <row r="128" spans="1:14" ht="84" x14ac:dyDescent="0.25">
      <c r="A128" s="19" t="s">
        <v>4550</v>
      </c>
      <c r="B128" s="17" t="s">
        <v>4549</v>
      </c>
      <c r="C128" s="20">
        <v>1</v>
      </c>
      <c r="D128" s="18">
        <v>66.75</v>
      </c>
      <c r="E128" s="20">
        <v>10760093</v>
      </c>
      <c r="F128" s="17" t="s">
        <v>206</v>
      </c>
      <c r="G128" s="19" t="s">
        <v>738</v>
      </c>
      <c r="H128" s="18">
        <v>16.82</v>
      </c>
      <c r="I128" s="17" t="s">
        <v>33</v>
      </c>
      <c r="J128" s="17" t="s">
        <v>143</v>
      </c>
      <c r="K128" s="17" t="s">
        <v>389</v>
      </c>
      <c r="L128" s="17" t="s">
        <v>1154</v>
      </c>
      <c r="M128" s="16" t="str">
        <f>HYPERLINK("http://slimages.macys.com/is/image/MCY/16358364 ")</f>
        <v xml:space="preserve">http://slimages.macys.com/is/image/MCY/16358364 </v>
      </c>
      <c r="N128" s="30"/>
    </row>
    <row r="129" spans="1:14" ht="60" x14ac:dyDescent="0.25">
      <c r="A129" s="19" t="s">
        <v>4548</v>
      </c>
      <c r="B129" s="17" t="s">
        <v>4547</v>
      </c>
      <c r="C129" s="20">
        <v>1</v>
      </c>
      <c r="D129" s="18">
        <v>66.75</v>
      </c>
      <c r="E129" s="20">
        <v>10543036</v>
      </c>
      <c r="F129" s="17" t="s">
        <v>508</v>
      </c>
      <c r="G129" s="19"/>
      <c r="H129" s="18">
        <v>16.82</v>
      </c>
      <c r="I129" s="17" t="s">
        <v>358</v>
      </c>
      <c r="J129" s="17" t="s">
        <v>143</v>
      </c>
      <c r="K129" s="17" t="s">
        <v>389</v>
      </c>
      <c r="L129" s="17" t="s">
        <v>662</v>
      </c>
      <c r="M129" s="16" t="str">
        <f>HYPERLINK("http://slimages.macys.com/is/image/MCY/9441485 ")</f>
        <v xml:space="preserve">http://slimages.macys.com/is/image/MCY/9441485 </v>
      </c>
      <c r="N129" s="30"/>
    </row>
    <row r="130" spans="1:14" ht="60" x14ac:dyDescent="0.25">
      <c r="A130" s="19" t="s">
        <v>4546</v>
      </c>
      <c r="B130" s="17" t="s">
        <v>4545</v>
      </c>
      <c r="C130" s="20">
        <v>1</v>
      </c>
      <c r="D130" s="18">
        <v>66.75</v>
      </c>
      <c r="E130" s="20" t="s">
        <v>4544</v>
      </c>
      <c r="F130" s="17" t="s">
        <v>339</v>
      </c>
      <c r="G130" s="19" t="s">
        <v>738</v>
      </c>
      <c r="H130" s="18">
        <v>16.793333333333337</v>
      </c>
      <c r="I130" s="17" t="s">
        <v>33</v>
      </c>
      <c r="J130" s="17" t="s">
        <v>32</v>
      </c>
      <c r="K130" s="17"/>
      <c r="L130" s="17"/>
      <c r="M130" s="16" t="str">
        <f>HYPERLINK("http://slimages.macys.com/is/image/MCY/19581167 ")</f>
        <v xml:space="preserve">http://slimages.macys.com/is/image/MCY/19581167 </v>
      </c>
      <c r="N130" s="30"/>
    </row>
    <row r="131" spans="1:14" ht="60" x14ac:dyDescent="0.25">
      <c r="A131" s="19" t="s">
        <v>4543</v>
      </c>
      <c r="B131" s="17" t="s">
        <v>4542</v>
      </c>
      <c r="C131" s="20">
        <v>1</v>
      </c>
      <c r="D131" s="18">
        <v>80</v>
      </c>
      <c r="E131" s="20" t="s">
        <v>4541</v>
      </c>
      <c r="F131" s="17" t="s">
        <v>91</v>
      </c>
      <c r="G131" s="19" t="s">
        <v>74</v>
      </c>
      <c r="H131" s="18">
        <v>16.666666666666668</v>
      </c>
      <c r="I131" s="17" t="s">
        <v>80</v>
      </c>
      <c r="J131" s="17" t="s">
        <v>187</v>
      </c>
      <c r="K131" s="17"/>
      <c r="L131" s="17"/>
      <c r="M131" s="16" t="str">
        <f>HYPERLINK("http://slimages.macys.com/is/image/MCY/17048255 ")</f>
        <v xml:space="preserve">http://slimages.macys.com/is/image/MCY/17048255 </v>
      </c>
      <c r="N131" s="30"/>
    </row>
    <row r="132" spans="1:14" ht="60" x14ac:dyDescent="0.25">
      <c r="A132" s="19" t="s">
        <v>4540</v>
      </c>
      <c r="B132" s="17" t="s">
        <v>4539</v>
      </c>
      <c r="C132" s="20">
        <v>1</v>
      </c>
      <c r="D132" s="18">
        <v>89</v>
      </c>
      <c r="E132" s="20" t="s">
        <v>3811</v>
      </c>
      <c r="F132" s="17" t="s">
        <v>575</v>
      </c>
      <c r="G132" s="19" t="s">
        <v>1862</v>
      </c>
      <c r="H132" s="18">
        <v>16.613333333333333</v>
      </c>
      <c r="I132" s="17" t="s">
        <v>820</v>
      </c>
      <c r="J132" s="17" t="s">
        <v>67</v>
      </c>
      <c r="K132" s="17"/>
      <c r="L132" s="17"/>
      <c r="M132" s="16" t="str">
        <f>HYPERLINK("http://slimages.macys.com/is/image/MCY/19686763 ")</f>
        <v xml:space="preserve">http://slimages.macys.com/is/image/MCY/19686763 </v>
      </c>
      <c r="N132" s="30"/>
    </row>
    <row r="133" spans="1:14" ht="60" x14ac:dyDescent="0.25">
      <c r="A133" s="19" t="s">
        <v>4538</v>
      </c>
      <c r="B133" s="17" t="s">
        <v>4537</v>
      </c>
      <c r="C133" s="20">
        <v>1</v>
      </c>
      <c r="D133" s="18">
        <v>89</v>
      </c>
      <c r="E133" s="20" t="s">
        <v>4536</v>
      </c>
      <c r="F133" s="17" t="s">
        <v>535</v>
      </c>
      <c r="G133" s="19" t="s">
        <v>1862</v>
      </c>
      <c r="H133" s="18">
        <v>16.613333333333333</v>
      </c>
      <c r="I133" s="17" t="s">
        <v>820</v>
      </c>
      <c r="J133" s="17" t="s">
        <v>67</v>
      </c>
      <c r="K133" s="17"/>
      <c r="L133" s="17"/>
      <c r="M133" s="16" t="str">
        <f>HYPERLINK("http://slimages.macys.com/is/image/MCY/19908121 ")</f>
        <v xml:space="preserve">http://slimages.macys.com/is/image/MCY/19908121 </v>
      </c>
      <c r="N133" s="30"/>
    </row>
    <row r="134" spans="1:14" ht="60" x14ac:dyDescent="0.25">
      <c r="A134" s="19" t="s">
        <v>3806</v>
      </c>
      <c r="B134" s="17" t="s">
        <v>3805</v>
      </c>
      <c r="C134" s="20">
        <v>1</v>
      </c>
      <c r="D134" s="18">
        <v>99</v>
      </c>
      <c r="E134" s="20">
        <v>7021731</v>
      </c>
      <c r="F134" s="17" t="s">
        <v>91</v>
      </c>
      <c r="G134" s="19" t="s">
        <v>22</v>
      </c>
      <c r="H134" s="18">
        <v>16.5</v>
      </c>
      <c r="I134" s="17" t="s">
        <v>111</v>
      </c>
      <c r="J134" s="17" t="s">
        <v>110</v>
      </c>
      <c r="K134" s="17"/>
      <c r="L134" s="17"/>
      <c r="M134" s="16" t="str">
        <f>HYPERLINK("http://slimages.macys.com/is/image/MCY/18879691 ")</f>
        <v xml:space="preserve">http://slimages.macys.com/is/image/MCY/18879691 </v>
      </c>
      <c r="N134" s="30"/>
    </row>
    <row r="135" spans="1:14" ht="60" x14ac:dyDescent="0.25">
      <c r="A135" s="19" t="s">
        <v>4535</v>
      </c>
      <c r="B135" s="17" t="s">
        <v>4534</v>
      </c>
      <c r="C135" s="20">
        <v>1</v>
      </c>
      <c r="D135" s="18">
        <v>99</v>
      </c>
      <c r="E135" s="20">
        <v>10771038</v>
      </c>
      <c r="F135" s="17" t="s">
        <v>390</v>
      </c>
      <c r="G135" s="19" t="s">
        <v>271</v>
      </c>
      <c r="H135" s="18">
        <v>16.5</v>
      </c>
      <c r="I135" s="17" t="s">
        <v>1307</v>
      </c>
      <c r="J135" s="17" t="s">
        <v>1306</v>
      </c>
      <c r="K135" s="17"/>
      <c r="L135" s="17"/>
      <c r="M135" s="16" t="str">
        <f>HYPERLINK("http://slimages.macys.com/is/image/MCY/18703485 ")</f>
        <v xml:space="preserve">http://slimages.macys.com/is/image/MCY/18703485 </v>
      </c>
      <c r="N135" s="30"/>
    </row>
    <row r="136" spans="1:14" ht="60" x14ac:dyDescent="0.25">
      <c r="A136" s="19" t="s">
        <v>3800</v>
      </c>
      <c r="B136" s="17" t="s">
        <v>3799</v>
      </c>
      <c r="C136" s="20">
        <v>1</v>
      </c>
      <c r="D136" s="18">
        <v>89</v>
      </c>
      <c r="E136" s="20" t="s">
        <v>3798</v>
      </c>
      <c r="F136" s="17" t="s">
        <v>881</v>
      </c>
      <c r="G136" s="19" t="s">
        <v>197</v>
      </c>
      <c r="H136" s="18">
        <v>16.433333333333334</v>
      </c>
      <c r="I136" s="17" t="s">
        <v>405</v>
      </c>
      <c r="J136" s="17" t="s">
        <v>404</v>
      </c>
      <c r="K136" s="17"/>
      <c r="L136" s="17"/>
      <c r="M136" s="16" t="str">
        <f>HYPERLINK("http://slimages.macys.com/is/image/MCY/19526397 ")</f>
        <v xml:space="preserve">http://slimages.macys.com/is/image/MCY/19526397 </v>
      </c>
      <c r="N136" s="30"/>
    </row>
    <row r="137" spans="1:14" ht="60" x14ac:dyDescent="0.25">
      <c r="A137" s="19" t="s">
        <v>4533</v>
      </c>
      <c r="B137" s="17" t="s">
        <v>4532</v>
      </c>
      <c r="C137" s="20">
        <v>1</v>
      </c>
      <c r="D137" s="18">
        <v>89</v>
      </c>
      <c r="E137" s="20" t="s">
        <v>3798</v>
      </c>
      <c r="F137" s="17" t="s">
        <v>881</v>
      </c>
      <c r="G137" s="19" t="s">
        <v>69</v>
      </c>
      <c r="H137" s="18">
        <v>16.433333333333334</v>
      </c>
      <c r="I137" s="17" t="s">
        <v>405</v>
      </c>
      <c r="J137" s="17" t="s">
        <v>404</v>
      </c>
      <c r="K137" s="17"/>
      <c r="L137" s="17"/>
      <c r="M137" s="16" t="str">
        <f>HYPERLINK("http://slimages.macys.com/is/image/MCY/19526397 ")</f>
        <v xml:space="preserve">http://slimages.macys.com/is/image/MCY/19526397 </v>
      </c>
      <c r="N137" s="30"/>
    </row>
    <row r="138" spans="1:14" ht="60" x14ac:dyDescent="0.25">
      <c r="A138" s="19" t="s">
        <v>4531</v>
      </c>
      <c r="B138" s="17" t="s">
        <v>4530</v>
      </c>
      <c r="C138" s="20">
        <v>1</v>
      </c>
      <c r="D138" s="18">
        <v>79.5</v>
      </c>
      <c r="E138" s="20" t="s">
        <v>2802</v>
      </c>
      <c r="F138" s="17" t="s">
        <v>51</v>
      </c>
      <c r="G138" s="19" t="s">
        <v>197</v>
      </c>
      <c r="H138" s="18">
        <v>16.013333333333335</v>
      </c>
      <c r="I138" s="17" t="s">
        <v>106</v>
      </c>
      <c r="J138" s="17" t="s">
        <v>105</v>
      </c>
      <c r="K138" s="17"/>
      <c r="L138" s="17"/>
      <c r="M138" s="16" t="str">
        <f>HYPERLINK("http://slimages.macys.com/is/image/MCY/19027051 ")</f>
        <v xml:space="preserve">http://slimages.macys.com/is/image/MCY/19027051 </v>
      </c>
      <c r="N138" s="30"/>
    </row>
    <row r="139" spans="1:14" ht="60" x14ac:dyDescent="0.25">
      <c r="A139" s="19" t="s">
        <v>1246</v>
      </c>
      <c r="B139" s="17" t="s">
        <v>1245</v>
      </c>
      <c r="C139" s="20">
        <v>1</v>
      </c>
      <c r="D139" s="18">
        <v>79.5</v>
      </c>
      <c r="E139" s="20" t="s">
        <v>1244</v>
      </c>
      <c r="F139" s="17" t="s">
        <v>91</v>
      </c>
      <c r="G139" s="19" t="s">
        <v>62</v>
      </c>
      <c r="H139" s="18">
        <v>16.013333333333335</v>
      </c>
      <c r="I139" s="17" t="s">
        <v>106</v>
      </c>
      <c r="J139" s="17" t="s">
        <v>105</v>
      </c>
      <c r="K139" s="17"/>
      <c r="L139" s="17"/>
      <c r="M139" s="16" t="str">
        <f>HYPERLINK("http://slimages.macys.com/is/image/MCY/20125785 ")</f>
        <v xml:space="preserve">http://slimages.macys.com/is/image/MCY/20125785 </v>
      </c>
      <c r="N139" s="30"/>
    </row>
    <row r="140" spans="1:14" ht="60" x14ac:dyDescent="0.25">
      <c r="A140" s="19" t="s">
        <v>1248</v>
      </c>
      <c r="B140" s="17" t="s">
        <v>1247</v>
      </c>
      <c r="C140" s="20">
        <v>1</v>
      </c>
      <c r="D140" s="18">
        <v>79.5</v>
      </c>
      <c r="E140" s="20" t="s">
        <v>1244</v>
      </c>
      <c r="F140" s="17" t="s">
        <v>91</v>
      </c>
      <c r="G140" s="19" t="s">
        <v>69</v>
      </c>
      <c r="H140" s="18">
        <v>16.013333333333335</v>
      </c>
      <c r="I140" s="17" t="s">
        <v>106</v>
      </c>
      <c r="J140" s="17" t="s">
        <v>105</v>
      </c>
      <c r="K140" s="17"/>
      <c r="L140" s="17"/>
      <c r="M140" s="16" t="str">
        <f>HYPERLINK("http://slimages.macys.com/is/image/MCY/20125785 ")</f>
        <v xml:space="preserve">http://slimages.macys.com/is/image/MCY/20125785 </v>
      </c>
      <c r="N140" s="30"/>
    </row>
    <row r="141" spans="1:14" ht="60" x14ac:dyDescent="0.25">
      <c r="A141" s="19" t="s">
        <v>2796</v>
      </c>
      <c r="B141" s="17" t="s">
        <v>2795</v>
      </c>
      <c r="C141" s="20">
        <v>1</v>
      </c>
      <c r="D141" s="18">
        <v>79.5</v>
      </c>
      <c r="E141" s="20" t="s">
        <v>2794</v>
      </c>
      <c r="F141" s="17" t="s">
        <v>330</v>
      </c>
      <c r="G141" s="19" t="s">
        <v>74</v>
      </c>
      <c r="H141" s="18">
        <v>16.013333333333335</v>
      </c>
      <c r="I141" s="17" t="s">
        <v>106</v>
      </c>
      <c r="J141" s="17" t="s">
        <v>105</v>
      </c>
      <c r="K141" s="17"/>
      <c r="L141" s="17"/>
      <c r="M141" s="16" t="str">
        <f>HYPERLINK("http://slimages.macys.com/is/image/MCY/19900271 ")</f>
        <v xml:space="preserve">http://slimages.macys.com/is/image/MCY/19900271 </v>
      </c>
      <c r="N141" s="30"/>
    </row>
    <row r="142" spans="1:14" ht="60" x14ac:dyDescent="0.25">
      <c r="A142" s="19" t="s">
        <v>4529</v>
      </c>
      <c r="B142" s="17" t="s">
        <v>4528</v>
      </c>
      <c r="C142" s="20">
        <v>1</v>
      </c>
      <c r="D142" s="18">
        <v>79.5</v>
      </c>
      <c r="E142" s="20" t="s">
        <v>4527</v>
      </c>
      <c r="F142" s="17" t="s">
        <v>51</v>
      </c>
      <c r="G142" s="19" t="s">
        <v>69</v>
      </c>
      <c r="H142" s="18">
        <v>16.013333333333335</v>
      </c>
      <c r="I142" s="17" t="s">
        <v>106</v>
      </c>
      <c r="J142" s="17" t="s">
        <v>105</v>
      </c>
      <c r="K142" s="17"/>
      <c r="L142" s="17"/>
      <c r="M142" s="16" t="str">
        <f>HYPERLINK("http://slimages.macys.com/is/image/MCY/19848354 ")</f>
        <v xml:space="preserve">http://slimages.macys.com/is/image/MCY/19848354 </v>
      </c>
      <c r="N142" s="30"/>
    </row>
    <row r="143" spans="1:14" ht="60" x14ac:dyDescent="0.25">
      <c r="A143" s="19" t="s">
        <v>4526</v>
      </c>
      <c r="B143" s="17" t="s">
        <v>4525</v>
      </c>
      <c r="C143" s="20">
        <v>2</v>
      </c>
      <c r="D143" s="18">
        <v>79.5</v>
      </c>
      <c r="E143" s="20" t="s">
        <v>1244</v>
      </c>
      <c r="F143" s="17" t="s">
        <v>51</v>
      </c>
      <c r="G143" s="19" t="s">
        <v>69</v>
      </c>
      <c r="H143" s="18">
        <v>16.013333333333335</v>
      </c>
      <c r="I143" s="17" t="s">
        <v>106</v>
      </c>
      <c r="J143" s="17" t="s">
        <v>105</v>
      </c>
      <c r="K143" s="17"/>
      <c r="L143" s="17"/>
      <c r="M143" s="16" t="str">
        <f>HYPERLINK("http://slimages.macys.com/is/image/MCY/20125785 ")</f>
        <v xml:space="preserve">http://slimages.macys.com/is/image/MCY/20125785 </v>
      </c>
      <c r="N143" s="30"/>
    </row>
    <row r="144" spans="1:14" ht="60" x14ac:dyDescent="0.25">
      <c r="A144" s="19" t="s">
        <v>4524</v>
      </c>
      <c r="B144" s="17" t="s">
        <v>4523</v>
      </c>
      <c r="C144" s="20">
        <v>1</v>
      </c>
      <c r="D144" s="18">
        <v>79.5</v>
      </c>
      <c r="E144" s="20" t="s">
        <v>1244</v>
      </c>
      <c r="F144" s="17" t="s">
        <v>91</v>
      </c>
      <c r="G144" s="19" t="s">
        <v>57</v>
      </c>
      <c r="H144" s="18">
        <v>16.013333333333335</v>
      </c>
      <c r="I144" s="17" t="s">
        <v>106</v>
      </c>
      <c r="J144" s="17" t="s">
        <v>105</v>
      </c>
      <c r="K144" s="17"/>
      <c r="L144" s="17"/>
      <c r="M144" s="16" t="str">
        <f>HYPERLINK("http://slimages.macys.com/is/image/MCY/20125785 ")</f>
        <v xml:space="preserve">http://slimages.macys.com/is/image/MCY/20125785 </v>
      </c>
      <c r="N144" s="30"/>
    </row>
    <row r="145" spans="1:14" ht="60" x14ac:dyDescent="0.25">
      <c r="A145" s="19" t="s">
        <v>2808</v>
      </c>
      <c r="B145" s="17" t="s">
        <v>2807</v>
      </c>
      <c r="C145" s="20">
        <v>1</v>
      </c>
      <c r="D145" s="18">
        <v>79.5</v>
      </c>
      <c r="E145" s="20" t="s">
        <v>1244</v>
      </c>
      <c r="F145" s="17" t="s">
        <v>91</v>
      </c>
      <c r="G145" s="19" t="s">
        <v>74</v>
      </c>
      <c r="H145" s="18">
        <v>16.013333333333335</v>
      </c>
      <c r="I145" s="17" t="s">
        <v>106</v>
      </c>
      <c r="J145" s="17" t="s">
        <v>105</v>
      </c>
      <c r="K145" s="17"/>
      <c r="L145" s="17"/>
      <c r="M145" s="16" t="str">
        <f>HYPERLINK("http://slimages.macys.com/is/image/MCY/20125785 ")</f>
        <v xml:space="preserve">http://slimages.macys.com/is/image/MCY/20125785 </v>
      </c>
      <c r="N145" s="30"/>
    </row>
    <row r="146" spans="1:14" ht="60" x14ac:dyDescent="0.25">
      <c r="A146" s="19" t="s">
        <v>2806</v>
      </c>
      <c r="B146" s="17" t="s">
        <v>2805</v>
      </c>
      <c r="C146" s="20">
        <v>1</v>
      </c>
      <c r="D146" s="18">
        <v>79.5</v>
      </c>
      <c r="E146" s="20" t="s">
        <v>1244</v>
      </c>
      <c r="F146" s="17" t="s">
        <v>91</v>
      </c>
      <c r="G146" s="19" t="s">
        <v>197</v>
      </c>
      <c r="H146" s="18">
        <v>16.013333333333335</v>
      </c>
      <c r="I146" s="17" t="s">
        <v>106</v>
      </c>
      <c r="J146" s="17" t="s">
        <v>105</v>
      </c>
      <c r="K146" s="17"/>
      <c r="L146" s="17"/>
      <c r="M146" s="16" t="str">
        <f>HYPERLINK("http://slimages.macys.com/is/image/MCY/20125785 ")</f>
        <v xml:space="preserve">http://slimages.macys.com/is/image/MCY/20125785 </v>
      </c>
      <c r="N146" s="30"/>
    </row>
    <row r="147" spans="1:14" ht="60" x14ac:dyDescent="0.25">
      <c r="A147" s="19" t="s">
        <v>4522</v>
      </c>
      <c r="B147" s="17" t="s">
        <v>4521</v>
      </c>
      <c r="C147" s="20">
        <v>1</v>
      </c>
      <c r="D147" s="18">
        <v>79.5</v>
      </c>
      <c r="E147" s="20" t="s">
        <v>1244</v>
      </c>
      <c r="F147" s="17" t="s">
        <v>578</v>
      </c>
      <c r="G147" s="19" t="s">
        <v>62</v>
      </c>
      <c r="H147" s="18">
        <v>16.013333333333335</v>
      </c>
      <c r="I147" s="17" t="s">
        <v>106</v>
      </c>
      <c r="J147" s="17" t="s">
        <v>105</v>
      </c>
      <c r="K147" s="17"/>
      <c r="L147" s="17"/>
      <c r="M147" s="16" t="str">
        <f>HYPERLINK("http://slimages.macys.com/is/image/MCY/20125785 ")</f>
        <v xml:space="preserve">http://slimages.macys.com/is/image/MCY/20125785 </v>
      </c>
      <c r="N147" s="30"/>
    </row>
    <row r="148" spans="1:14" ht="60" x14ac:dyDescent="0.25">
      <c r="A148" s="19" t="s">
        <v>4520</v>
      </c>
      <c r="B148" s="17" t="s">
        <v>4519</v>
      </c>
      <c r="C148" s="20">
        <v>1</v>
      </c>
      <c r="D148" s="18">
        <v>99</v>
      </c>
      <c r="E148" s="20" t="s">
        <v>4518</v>
      </c>
      <c r="F148" s="17" t="s">
        <v>1356</v>
      </c>
      <c r="G148" s="19" t="s">
        <v>2131</v>
      </c>
      <c r="H148" s="18">
        <v>16</v>
      </c>
      <c r="I148" s="17" t="s">
        <v>115</v>
      </c>
      <c r="J148" s="17" t="s">
        <v>2130</v>
      </c>
      <c r="K148" s="17"/>
      <c r="L148" s="17"/>
      <c r="M148" s="16" t="str">
        <f>HYPERLINK("http://slimages.macys.com/is/image/MCY/18590053 ")</f>
        <v xml:space="preserve">http://slimages.macys.com/is/image/MCY/18590053 </v>
      </c>
      <c r="N148" s="30"/>
    </row>
    <row r="149" spans="1:14" ht="60" x14ac:dyDescent="0.25">
      <c r="A149" s="19" t="s">
        <v>4517</v>
      </c>
      <c r="B149" s="17" t="s">
        <v>4516</v>
      </c>
      <c r="C149" s="20">
        <v>1</v>
      </c>
      <c r="D149" s="18">
        <v>79</v>
      </c>
      <c r="E149" s="20" t="s">
        <v>4515</v>
      </c>
      <c r="F149" s="17" t="s">
        <v>345</v>
      </c>
      <c r="G149" s="19" t="s">
        <v>69</v>
      </c>
      <c r="H149" s="18">
        <v>15.8</v>
      </c>
      <c r="I149" s="17" t="s">
        <v>144</v>
      </c>
      <c r="J149" s="17" t="s">
        <v>496</v>
      </c>
      <c r="K149" s="17"/>
      <c r="L149" s="17"/>
      <c r="M149" s="16" t="str">
        <f>HYPERLINK("http://slimages.macys.com/is/image/MCY/18768012 ")</f>
        <v xml:space="preserve">http://slimages.macys.com/is/image/MCY/18768012 </v>
      </c>
      <c r="N149" s="30"/>
    </row>
    <row r="150" spans="1:14" ht="60" x14ac:dyDescent="0.25">
      <c r="A150" s="19" t="s">
        <v>4514</v>
      </c>
      <c r="B150" s="17" t="s">
        <v>4513</v>
      </c>
      <c r="C150" s="20">
        <v>1</v>
      </c>
      <c r="D150" s="18">
        <v>79</v>
      </c>
      <c r="E150" s="20" t="s">
        <v>1986</v>
      </c>
      <c r="F150" s="17" t="s">
        <v>216</v>
      </c>
      <c r="G150" s="19"/>
      <c r="H150" s="18">
        <v>15.666666666666668</v>
      </c>
      <c r="I150" s="17" t="s">
        <v>550</v>
      </c>
      <c r="J150" s="17" t="s">
        <v>1448</v>
      </c>
      <c r="K150" s="17"/>
      <c r="L150" s="17"/>
      <c r="M150" s="16" t="str">
        <f>HYPERLINK("http://slimages.macys.com/is/image/MCY/18272380 ")</f>
        <v xml:space="preserve">http://slimages.macys.com/is/image/MCY/18272380 </v>
      </c>
      <c r="N150" s="30"/>
    </row>
    <row r="151" spans="1:14" ht="60" x14ac:dyDescent="0.25">
      <c r="A151" s="19" t="s">
        <v>4512</v>
      </c>
      <c r="B151" s="17" t="s">
        <v>4511</v>
      </c>
      <c r="C151" s="20">
        <v>1</v>
      </c>
      <c r="D151" s="18">
        <v>78</v>
      </c>
      <c r="E151" s="20" t="s">
        <v>4510</v>
      </c>
      <c r="F151" s="17" t="s">
        <v>28</v>
      </c>
      <c r="G151" s="19" t="s">
        <v>857</v>
      </c>
      <c r="H151" s="18">
        <v>15.6</v>
      </c>
      <c r="I151" s="17" t="s">
        <v>148</v>
      </c>
      <c r="J151" s="17" t="s">
        <v>4509</v>
      </c>
      <c r="K151" s="17"/>
      <c r="L151" s="17"/>
      <c r="M151" s="16" t="str">
        <f>HYPERLINK("http://slimages.macys.com/is/image/MCY/17892461 ")</f>
        <v xml:space="preserve">http://slimages.macys.com/is/image/MCY/17892461 </v>
      </c>
      <c r="N151" s="30"/>
    </row>
    <row r="152" spans="1:14" ht="84" x14ac:dyDescent="0.25">
      <c r="A152" s="19" t="s">
        <v>4508</v>
      </c>
      <c r="B152" s="17" t="s">
        <v>4507</v>
      </c>
      <c r="C152" s="20">
        <v>1</v>
      </c>
      <c r="D152" s="18">
        <v>79</v>
      </c>
      <c r="E152" s="20">
        <v>10543022</v>
      </c>
      <c r="F152" s="17" t="s">
        <v>508</v>
      </c>
      <c r="G152" s="19" t="s">
        <v>773</v>
      </c>
      <c r="H152" s="18">
        <v>15.273333333333333</v>
      </c>
      <c r="I152" s="17" t="s">
        <v>144</v>
      </c>
      <c r="J152" s="17" t="s">
        <v>143</v>
      </c>
      <c r="K152" s="17" t="s">
        <v>389</v>
      </c>
      <c r="L152" s="17" t="s">
        <v>3664</v>
      </c>
      <c r="M152" s="16" t="str">
        <f>HYPERLINK("http://slimages.macys.com/is/image/MCY/9183640 ")</f>
        <v xml:space="preserve">http://slimages.macys.com/is/image/MCY/9183640 </v>
      </c>
      <c r="N152" s="30"/>
    </row>
    <row r="153" spans="1:14" ht="96" x14ac:dyDescent="0.25">
      <c r="A153" s="19" t="s">
        <v>4506</v>
      </c>
      <c r="B153" s="17" t="s">
        <v>4505</v>
      </c>
      <c r="C153" s="20">
        <v>1</v>
      </c>
      <c r="D153" s="18">
        <v>79</v>
      </c>
      <c r="E153" s="20">
        <v>10699683</v>
      </c>
      <c r="F153" s="17" t="s">
        <v>51</v>
      </c>
      <c r="G153" s="19" t="s">
        <v>658</v>
      </c>
      <c r="H153" s="18">
        <v>15.273333333333333</v>
      </c>
      <c r="I153" s="17" t="s">
        <v>144</v>
      </c>
      <c r="J153" s="17" t="s">
        <v>114</v>
      </c>
      <c r="K153" s="17" t="s">
        <v>389</v>
      </c>
      <c r="L153" s="17" t="s">
        <v>4504</v>
      </c>
      <c r="M153" s="16" t="str">
        <f>HYPERLINK("http://slimages.macys.com/is/image/MCY/10170924 ")</f>
        <v xml:space="preserve">http://slimages.macys.com/is/image/MCY/10170924 </v>
      </c>
      <c r="N153" s="30"/>
    </row>
    <row r="154" spans="1:14" ht="60" x14ac:dyDescent="0.25">
      <c r="A154" s="19" t="s">
        <v>4503</v>
      </c>
      <c r="B154" s="17" t="s">
        <v>4502</v>
      </c>
      <c r="C154" s="20">
        <v>1</v>
      </c>
      <c r="D154" s="18">
        <v>69</v>
      </c>
      <c r="E154" s="20" t="s">
        <v>4501</v>
      </c>
      <c r="F154" s="17" t="s">
        <v>58</v>
      </c>
      <c r="G154" s="19" t="s">
        <v>62</v>
      </c>
      <c r="H154" s="18">
        <v>15.226666666666667</v>
      </c>
      <c r="I154" s="17" t="s">
        <v>49</v>
      </c>
      <c r="J154" s="17" t="s">
        <v>48</v>
      </c>
      <c r="K154" s="17"/>
      <c r="L154" s="17"/>
      <c r="M154" s="16" t="str">
        <f>HYPERLINK("http://slimages.macys.com/is/image/MCY/17475700 ")</f>
        <v xml:space="preserve">http://slimages.macys.com/is/image/MCY/17475700 </v>
      </c>
      <c r="N154" s="30"/>
    </row>
    <row r="155" spans="1:14" ht="60" x14ac:dyDescent="0.25">
      <c r="A155" s="19" t="s">
        <v>4500</v>
      </c>
      <c r="B155" s="17" t="s">
        <v>4499</v>
      </c>
      <c r="C155" s="20">
        <v>2</v>
      </c>
      <c r="D155" s="18">
        <v>69</v>
      </c>
      <c r="E155" s="20" t="s">
        <v>4498</v>
      </c>
      <c r="F155" s="17" t="s">
        <v>149</v>
      </c>
      <c r="G155" s="19"/>
      <c r="H155" s="18">
        <v>15.226666666666667</v>
      </c>
      <c r="I155" s="17" t="s">
        <v>49</v>
      </c>
      <c r="J155" s="17" t="s">
        <v>48</v>
      </c>
      <c r="K155" s="17"/>
      <c r="L155" s="17"/>
      <c r="M155" s="16" t="str">
        <f>HYPERLINK("http://slimages.macys.com/is/image/MCY/19379643 ")</f>
        <v xml:space="preserve">http://slimages.macys.com/is/image/MCY/19379643 </v>
      </c>
      <c r="N155" s="30"/>
    </row>
    <row r="156" spans="1:14" ht="60" x14ac:dyDescent="0.25">
      <c r="A156" s="19" t="s">
        <v>4497</v>
      </c>
      <c r="B156" s="17" t="s">
        <v>4496</v>
      </c>
      <c r="C156" s="20">
        <v>1</v>
      </c>
      <c r="D156" s="18">
        <v>69</v>
      </c>
      <c r="E156" s="20">
        <v>2321066</v>
      </c>
      <c r="F156" s="17" t="s">
        <v>23</v>
      </c>
      <c r="G156" s="19" t="s">
        <v>22</v>
      </c>
      <c r="H156" s="18">
        <v>15</v>
      </c>
      <c r="I156" s="17" t="s">
        <v>80</v>
      </c>
      <c r="J156" s="17" t="s">
        <v>293</v>
      </c>
      <c r="K156" s="17"/>
      <c r="L156" s="17"/>
      <c r="M156" s="16" t="str">
        <f>HYPERLINK("http://slimages.macys.com/is/image/MCY/18947677 ")</f>
        <v xml:space="preserve">http://slimages.macys.com/is/image/MCY/18947677 </v>
      </c>
      <c r="N156" s="30"/>
    </row>
    <row r="157" spans="1:14" ht="60" x14ac:dyDescent="0.25">
      <c r="A157" s="19" t="s">
        <v>4495</v>
      </c>
      <c r="B157" s="17" t="s">
        <v>4494</v>
      </c>
      <c r="C157" s="20">
        <v>2</v>
      </c>
      <c r="D157" s="18">
        <v>79.5</v>
      </c>
      <c r="E157" s="20" t="s">
        <v>4493</v>
      </c>
      <c r="F157" s="17" t="s">
        <v>23</v>
      </c>
      <c r="G157" s="19" t="s">
        <v>57</v>
      </c>
      <c r="H157" s="18">
        <v>14.973333333333334</v>
      </c>
      <c r="I157" s="17" t="s">
        <v>68</v>
      </c>
      <c r="J157" s="17" t="s">
        <v>67</v>
      </c>
      <c r="K157" s="17"/>
      <c r="L157" s="17"/>
      <c r="M157" s="16" t="str">
        <f>HYPERLINK("http://slimages.macys.com/is/image/MCY/18629455 ")</f>
        <v xml:space="preserve">http://slimages.macys.com/is/image/MCY/18629455 </v>
      </c>
      <c r="N157" s="30"/>
    </row>
    <row r="158" spans="1:14" ht="60" x14ac:dyDescent="0.25">
      <c r="A158" s="19" t="s">
        <v>4492</v>
      </c>
      <c r="B158" s="17" t="s">
        <v>4491</v>
      </c>
      <c r="C158" s="20">
        <v>1</v>
      </c>
      <c r="D158" s="18">
        <v>79.5</v>
      </c>
      <c r="E158" s="20" t="s">
        <v>3737</v>
      </c>
      <c r="F158" s="17" t="s">
        <v>330</v>
      </c>
      <c r="G158" s="19"/>
      <c r="H158" s="18">
        <v>14.966666666666669</v>
      </c>
      <c r="I158" s="17" t="s">
        <v>1891</v>
      </c>
      <c r="J158" s="17" t="s">
        <v>2435</v>
      </c>
      <c r="K158" s="17"/>
      <c r="L158" s="17"/>
      <c r="M158" s="16" t="str">
        <f>HYPERLINK("http://slimages.macys.com/is/image/MCY/19507875 ")</f>
        <v xml:space="preserve">http://slimages.macys.com/is/image/MCY/19507875 </v>
      </c>
      <c r="N158" s="30"/>
    </row>
    <row r="159" spans="1:14" ht="60" x14ac:dyDescent="0.25">
      <c r="A159" s="19" t="s">
        <v>4490</v>
      </c>
      <c r="B159" s="17" t="s">
        <v>4489</v>
      </c>
      <c r="C159" s="20">
        <v>1</v>
      </c>
      <c r="D159" s="18">
        <v>79.5</v>
      </c>
      <c r="E159" s="20" t="s">
        <v>3737</v>
      </c>
      <c r="F159" s="17" t="s">
        <v>330</v>
      </c>
      <c r="G159" s="19" t="s">
        <v>139</v>
      </c>
      <c r="H159" s="18">
        <v>14.966666666666669</v>
      </c>
      <c r="I159" s="17" t="s">
        <v>1891</v>
      </c>
      <c r="J159" s="17" t="s">
        <v>2435</v>
      </c>
      <c r="K159" s="17"/>
      <c r="L159" s="17"/>
      <c r="M159" s="16" t="str">
        <f>HYPERLINK("http://slimages.macys.com/is/image/MCY/19507875 ")</f>
        <v xml:space="preserve">http://slimages.macys.com/is/image/MCY/19507875 </v>
      </c>
      <c r="N159" s="30"/>
    </row>
    <row r="160" spans="1:14" ht="60" x14ac:dyDescent="0.25">
      <c r="A160" s="19" t="s">
        <v>4488</v>
      </c>
      <c r="B160" s="17" t="s">
        <v>4487</v>
      </c>
      <c r="C160" s="20">
        <v>15</v>
      </c>
      <c r="D160" s="18">
        <v>59.25</v>
      </c>
      <c r="E160" s="20">
        <v>10688319</v>
      </c>
      <c r="F160" s="17" t="s">
        <v>28</v>
      </c>
      <c r="G160" s="19" t="s">
        <v>669</v>
      </c>
      <c r="H160" s="18">
        <v>14.933333333333335</v>
      </c>
      <c r="I160" s="17" t="s">
        <v>33</v>
      </c>
      <c r="J160" s="17" t="s">
        <v>143</v>
      </c>
      <c r="K160" s="17" t="s">
        <v>389</v>
      </c>
      <c r="L160" s="17" t="s">
        <v>662</v>
      </c>
      <c r="M160" s="16" t="str">
        <f>HYPERLINK("http://slimages.macys.com/is/image/MCY/9936523 ")</f>
        <v xml:space="preserve">http://slimages.macys.com/is/image/MCY/9936523 </v>
      </c>
      <c r="N160" s="30"/>
    </row>
    <row r="161" spans="1:14" ht="84" x14ac:dyDescent="0.25">
      <c r="A161" s="19" t="s">
        <v>4486</v>
      </c>
      <c r="B161" s="17" t="s">
        <v>4485</v>
      </c>
      <c r="C161" s="20">
        <v>1</v>
      </c>
      <c r="D161" s="18">
        <v>59.25</v>
      </c>
      <c r="E161" s="20">
        <v>10543044</v>
      </c>
      <c r="F161" s="17" t="s">
        <v>508</v>
      </c>
      <c r="G161" s="19" t="s">
        <v>1292</v>
      </c>
      <c r="H161" s="18">
        <v>14.933333333333335</v>
      </c>
      <c r="I161" s="17" t="s">
        <v>358</v>
      </c>
      <c r="J161" s="17" t="s">
        <v>143</v>
      </c>
      <c r="K161" s="17" t="s">
        <v>389</v>
      </c>
      <c r="L161" s="17" t="s">
        <v>1154</v>
      </c>
      <c r="M161" s="16" t="str">
        <f>HYPERLINK("http://slimages.macys.com/is/image/MCY/9757381 ")</f>
        <v xml:space="preserve">http://slimages.macys.com/is/image/MCY/9757381 </v>
      </c>
      <c r="N161" s="30"/>
    </row>
    <row r="162" spans="1:14" ht="60" x14ac:dyDescent="0.25">
      <c r="A162" s="19" t="s">
        <v>4484</v>
      </c>
      <c r="B162" s="17" t="s">
        <v>4483</v>
      </c>
      <c r="C162" s="20">
        <v>1</v>
      </c>
      <c r="D162" s="18">
        <v>89</v>
      </c>
      <c r="E162" s="20">
        <v>7020309</v>
      </c>
      <c r="F162" s="17" t="s">
        <v>91</v>
      </c>
      <c r="G162" s="19" t="s">
        <v>857</v>
      </c>
      <c r="H162" s="18">
        <v>14.833333333333334</v>
      </c>
      <c r="I162" s="17" t="s">
        <v>111</v>
      </c>
      <c r="J162" s="17" t="s">
        <v>110</v>
      </c>
      <c r="K162" s="17"/>
      <c r="L162" s="17"/>
      <c r="M162" s="16" t="str">
        <f>HYPERLINK("http://slimages.macys.com/is/image/MCY/16687760 ")</f>
        <v xml:space="preserve">http://slimages.macys.com/is/image/MCY/16687760 </v>
      </c>
      <c r="N162" s="30"/>
    </row>
    <row r="163" spans="1:14" ht="72" x14ac:dyDescent="0.25">
      <c r="A163" s="19" t="s">
        <v>3720</v>
      </c>
      <c r="B163" s="17" t="s">
        <v>3719</v>
      </c>
      <c r="C163" s="20">
        <v>1</v>
      </c>
      <c r="D163" s="18">
        <v>89</v>
      </c>
      <c r="E163" s="20">
        <v>7030123</v>
      </c>
      <c r="F163" s="17" t="s">
        <v>91</v>
      </c>
      <c r="G163" s="19" t="s">
        <v>62</v>
      </c>
      <c r="H163" s="18">
        <v>14.833333333333334</v>
      </c>
      <c r="I163" s="17" t="s">
        <v>111</v>
      </c>
      <c r="J163" s="17" t="s">
        <v>110</v>
      </c>
      <c r="K163" s="17" t="s">
        <v>637</v>
      </c>
      <c r="L163" s="17" t="s">
        <v>3718</v>
      </c>
      <c r="M163" s="16" t="str">
        <f>HYPERLINK("http://images.bloomingdales.com/is/image/BLM/10984794 ")</f>
        <v xml:space="preserve">http://images.bloomingdales.com/is/image/BLM/10984794 </v>
      </c>
      <c r="N163" s="30"/>
    </row>
    <row r="164" spans="1:14" ht="60" x14ac:dyDescent="0.25">
      <c r="A164" s="19" t="s">
        <v>4482</v>
      </c>
      <c r="B164" s="17" t="s">
        <v>4481</v>
      </c>
      <c r="C164" s="20">
        <v>1</v>
      </c>
      <c r="D164" s="18">
        <v>89</v>
      </c>
      <c r="E164" s="20">
        <v>7031105</v>
      </c>
      <c r="F164" s="17" t="s">
        <v>91</v>
      </c>
      <c r="G164" s="19" t="s">
        <v>17</v>
      </c>
      <c r="H164" s="18">
        <v>14.833333333333334</v>
      </c>
      <c r="I164" s="17" t="s">
        <v>111</v>
      </c>
      <c r="J164" s="17" t="s">
        <v>110</v>
      </c>
      <c r="K164" s="17"/>
      <c r="L164" s="17"/>
      <c r="M164" s="16" t="str">
        <f>HYPERLINK("http://slimages.macys.com/is/image/MCY/19688713 ")</f>
        <v xml:space="preserve">http://slimages.macys.com/is/image/MCY/19688713 </v>
      </c>
      <c r="N164" s="30"/>
    </row>
    <row r="165" spans="1:14" ht="60" x14ac:dyDescent="0.25">
      <c r="A165" s="19" t="s">
        <v>4480</v>
      </c>
      <c r="B165" s="17" t="s">
        <v>4479</v>
      </c>
      <c r="C165" s="20">
        <v>1</v>
      </c>
      <c r="D165" s="18">
        <v>89</v>
      </c>
      <c r="E165" s="20">
        <v>7031105</v>
      </c>
      <c r="F165" s="17" t="s">
        <v>91</v>
      </c>
      <c r="G165" s="19" t="s">
        <v>62</v>
      </c>
      <c r="H165" s="18">
        <v>14.833333333333334</v>
      </c>
      <c r="I165" s="17" t="s">
        <v>111</v>
      </c>
      <c r="J165" s="17" t="s">
        <v>110</v>
      </c>
      <c r="K165" s="17"/>
      <c r="L165" s="17"/>
      <c r="M165" s="16" t="str">
        <f>HYPERLINK("http://slimages.macys.com/is/image/MCY/19688713 ")</f>
        <v xml:space="preserve">http://slimages.macys.com/is/image/MCY/19688713 </v>
      </c>
      <c r="N165" s="30"/>
    </row>
    <row r="166" spans="1:14" ht="60" x14ac:dyDescent="0.25">
      <c r="A166" s="19" t="s">
        <v>4478</v>
      </c>
      <c r="B166" s="17" t="s">
        <v>4477</v>
      </c>
      <c r="C166" s="20">
        <v>1</v>
      </c>
      <c r="D166" s="18">
        <v>59.25</v>
      </c>
      <c r="E166" s="20" t="s">
        <v>4472</v>
      </c>
      <c r="F166" s="17" t="s">
        <v>28</v>
      </c>
      <c r="G166" s="19" t="s">
        <v>669</v>
      </c>
      <c r="H166" s="18">
        <v>14.813333333333334</v>
      </c>
      <c r="I166" s="17" t="s">
        <v>33</v>
      </c>
      <c r="J166" s="17" t="s">
        <v>32</v>
      </c>
      <c r="K166" s="17"/>
      <c r="L166" s="17"/>
      <c r="M166" s="16" t="str">
        <f>HYPERLINK("http://slimages.macys.com/is/image/MCY/19727124 ")</f>
        <v xml:space="preserve">http://slimages.macys.com/is/image/MCY/19727124 </v>
      </c>
      <c r="N166" s="30"/>
    </row>
    <row r="167" spans="1:14" ht="60" x14ac:dyDescent="0.25">
      <c r="A167" s="19" t="s">
        <v>4476</v>
      </c>
      <c r="B167" s="17" t="s">
        <v>4475</v>
      </c>
      <c r="C167" s="20">
        <v>1</v>
      </c>
      <c r="D167" s="18">
        <v>59.25</v>
      </c>
      <c r="E167" s="20" t="s">
        <v>4472</v>
      </c>
      <c r="F167" s="17" t="s">
        <v>28</v>
      </c>
      <c r="G167" s="19" t="s">
        <v>644</v>
      </c>
      <c r="H167" s="18">
        <v>14.813333333333334</v>
      </c>
      <c r="I167" s="17" t="s">
        <v>33</v>
      </c>
      <c r="J167" s="17" t="s">
        <v>32</v>
      </c>
      <c r="K167" s="17"/>
      <c r="L167" s="17"/>
      <c r="M167" s="16" t="str">
        <f>HYPERLINK("http://slimages.macys.com/is/image/MCY/19727124 ")</f>
        <v xml:space="preserve">http://slimages.macys.com/is/image/MCY/19727124 </v>
      </c>
      <c r="N167" s="30"/>
    </row>
    <row r="168" spans="1:14" ht="60" x14ac:dyDescent="0.25">
      <c r="A168" s="19" t="s">
        <v>4474</v>
      </c>
      <c r="B168" s="17" t="s">
        <v>4473</v>
      </c>
      <c r="C168" s="20">
        <v>1</v>
      </c>
      <c r="D168" s="18">
        <v>59.25</v>
      </c>
      <c r="E168" s="20" t="s">
        <v>4472</v>
      </c>
      <c r="F168" s="17" t="s">
        <v>28</v>
      </c>
      <c r="G168" s="19" t="s">
        <v>874</v>
      </c>
      <c r="H168" s="18">
        <v>14.813333333333334</v>
      </c>
      <c r="I168" s="17" t="s">
        <v>33</v>
      </c>
      <c r="J168" s="17" t="s">
        <v>32</v>
      </c>
      <c r="K168" s="17"/>
      <c r="L168" s="17"/>
      <c r="M168" s="16" t="str">
        <f>HYPERLINK("http://slimages.macys.com/is/image/MCY/19727124 ")</f>
        <v xml:space="preserve">http://slimages.macys.com/is/image/MCY/19727124 </v>
      </c>
      <c r="N168" s="30"/>
    </row>
    <row r="169" spans="1:14" ht="72" x14ac:dyDescent="0.25">
      <c r="A169" s="19" t="s">
        <v>4471</v>
      </c>
      <c r="B169" s="17" t="s">
        <v>4470</v>
      </c>
      <c r="C169" s="20">
        <v>1</v>
      </c>
      <c r="D169" s="18">
        <v>69</v>
      </c>
      <c r="E169" s="20">
        <v>7021095</v>
      </c>
      <c r="F169" s="17" t="s">
        <v>91</v>
      </c>
      <c r="G169" s="19" t="s">
        <v>22</v>
      </c>
      <c r="H169" s="18">
        <v>14.720000000000002</v>
      </c>
      <c r="I169" s="17" t="s">
        <v>111</v>
      </c>
      <c r="J169" s="17" t="s">
        <v>110</v>
      </c>
      <c r="K169" s="17" t="s">
        <v>637</v>
      </c>
      <c r="L169" s="17" t="s">
        <v>4469</v>
      </c>
      <c r="M169" s="16" t="str">
        <f>HYPERLINK("http://images.bloomingdales.com/is/image/BLM/11850938 ")</f>
        <v xml:space="preserve">http://images.bloomingdales.com/is/image/BLM/11850938 </v>
      </c>
      <c r="N169" s="30"/>
    </row>
    <row r="170" spans="1:14" ht="60" x14ac:dyDescent="0.25">
      <c r="A170" s="19" t="s">
        <v>4468</v>
      </c>
      <c r="B170" s="17" t="s">
        <v>4467</v>
      </c>
      <c r="C170" s="20">
        <v>1</v>
      </c>
      <c r="D170" s="18">
        <v>69</v>
      </c>
      <c r="E170" s="20">
        <v>7051088</v>
      </c>
      <c r="F170" s="17" t="s">
        <v>2876</v>
      </c>
      <c r="G170" s="19" t="s">
        <v>50</v>
      </c>
      <c r="H170" s="18">
        <v>14.720000000000002</v>
      </c>
      <c r="I170" s="17" t="s">
        <v>111</v>
      </c>
      <c r="J170" s="17" t="s">
        <v>110</v>
      </c>
      <c r="K170" s="17"/>
      <c r="L170" s="17"/>
      <c r="M170" s="16" t="str">
        <f>HYPERLINK("http://slimages.macys.com/is/image/MCY/19586987 ")</f>
        <v xml:space="preserve">http://slimages.macys.com/is/image/MCY/19586987 </v>
      </c>
      <c r="N170" s="30"/>
    </row>
    <row r="171" spans="1:14" ht="60" x14ac:dyDescent="0.25">
      <c r="A171" s="19" t="s">
        <v>1201</v>
      </c>
      <c r="B171" s="17" t="s">
        <v>1200</v>
      </c>
      <c r="C171" s="20">
        <v>1</v>
      </c>
      <c r="D171" s="18">
        <v>65</v>
      </c>
      <c r="E171" s="20" t="s">
        <v>1199</v>
      </c>
      <c r="F171" s="17" t="s">
        <v>28</v>
      </c>
      <c r="G171" s="19" t="s">
        <v>74</v>
      </c>
      <c r="H171" s="18">
        <v>14.666666666666668</v>
      </c>
      <c r="I171" s="17" t="s">
        <v>133</v>
      </c>
      <c r="J171" s="17" t="s">
        <v>833</v>
      </c>
      <c r="K171" s="17"/>
      <c r="L171" s="17"/>
      <c r="M171" s="16" t="str">
        <f>HYPERLINK("http://slimages.macys.com/is/image/MCY/19305730 ")</f>
        <v xml:space="preserve">http://slimages.macys.com/is/image/MCY/19305730 </v>
      </c>
      <c r="N171" s="30"/>
    </row>
    <row r="172" spans="1:14" ht="60" x14ac:dyDescent="0.25">
      <c r="A172" s="19" t="s">
        <v>4466</v>
      </c>
      <c r="B172" s="17" t="s">
        <v>4465</v>
      </c>
      <c r="C172" s="20">
        <v>2</v>
      </c>
      <c r="D172" s="18">
        <v>51.75</v>
      </c>
      <c r="E172" s="20">
        <v>10763861</v>
      </c>
      <c r="F172" s="17" t="s">
        <v>23</v>
      </c>
      <c r="G172" s="19" t="s">
        <v>3931</v>
      </c>
      <c r="H172" s="18">
        <v>14.493333333333334</v>
      </c>
      <c r="I172" s="17" t="s">
        <v>33</v>
      </c>
      <c r="J172" s="17" t="s">
        <v>143</v>
      </c>
      <c r="K172" s="17"/>
      <c r="L172" s="17"/>
      <c r="M172" s="16" t="str">
        <f>HYPERLINK("http://slimages.macys.com/is/image/MCY/18301576 ")</f>
        <v xml:space="preserve">http://slimages.macys.com/is/image/MCY/18301576 </v>
      </c>
      <c r="N172" s="30"/>
    </row>
    <row r="173" spans="1:14" ht="60" x14ac:dyDescent="0.25">
      <c r="A173" s="19" t="s">
        <v>4464</v>
      </c>
      <c r="B173" s="17" t="s">
        <v>4463</v>
      </c>
      <c r="C173" s="20">
        <v>1</v>
      </c>
      <c r="D173" s="18">
        <v>51.75</v>
      </c>
      <c r="E173" s="20">
        <v>10804813</v>
      </c>
      <c r="F173" s="17" t="s">
        <v>508</v>
      </c>
      <c r="G173" s="19" t="s">
        <v>34</v>
      </c>
      <c r="H173" s="18">
        <v>14.493333333333334</v>
      </c>
      <c r="I173" s="17" t="s">
        <v>33</v>
      </c>
      <c r="J173" s="17" t="s">
        <v>143</v>
      </c>
      <c r="K173" s="17"/>
      <c r="L173" s="17"/>
      <c r="M173" s="16" t="str">
        <f>HYPERLINK("http://slimages.macys.com/is/image/MCY/18960188 ")</f>
        <v xml:space="preserve">http://slimages.macys.com/is/image/MCY/18960188 </v>
      </c>
      <c r="N173" s="30"/>
    </row>
    <row r="174" spans="1:14" ht="60" x14ac:dyDescent="0.25">
      <c r="A174" s="19" t="s">
        <v>4462</v>
      </c>
      <c r="B174" s="17" t="s">
        <v>4461</v>
      </c>
      <c r="C174" s="20">
        <v>1</v>
      </c>
      <c r="D174" s="18">
        <v>51.75</v>
      </c>
      <c r="E174" s="20">
        <v>10804813</v>
      </c>
      <c r="F174" s="17" t="s">
        <v>508</v>
      </c>
      <c r="G174" s="19"/>
      <c r="H174" s="18">
        <v>14.493333333333334</v>
      </c>
      <c r="I174" s="17" t="s">
        <v>33</v>
      </c>
      <c r="J174" s="17" t="s">
        <v>143</v>
      </c>
      <c r="K174" s="17"/>
      <c r="L174" s="17"/>
      <c r="M174" s="16" t="str">
        <f>HYPERLINK("http://slimages.macys.com/is/image/MCY/18960188 ")</f>
        <v xml:space="preserve">http://slimages.macys.com/is/image/MCY/18960188 </v>
      </c>
      <c r="N174" s="30"/>
    </row>
    <row r="175" spans="1:14" ht="60" x14ac:dyDescent="0.25">
      <c r="A175" s="19" t="s">
        <v>4460</v>
      </c>
      <c r="B175" s="17" t="s">
        <v>4459</v>
      </c>
      <c r="C175" s="20">
        <v>4</v>
      </c>
      <c r="D175" s="18">
        <v>58</v>
      </c>
      <c r="E175" s="20" t="s">
        <v>1181</v>
      </c>
      <c r="F175" s="17" t="s">
        <v>345</v>
      </c>
      <c r="G175" s="19" t="s">
        <v>57</v>
      </c>
      <c r="H175" s="18">
        <v>14.000000000000002</v>
      </c>
      <c r="I175" s="17" t="s">
        <v>133</v>
      </c>
      <c r="J175" s="17" t="s">
        <v>833</v>
      </c>
      <c r="K175" s="17"/>
      <c r="L175" s="17"/>
      <c r="M175" s="16" t="str">
        <f>HYPERLINK("http://slimages.macys.com/is/image/MCY/19305645 ")</f>
        <v xml:space="preserve">http://slimages.macys.com/is/image/MCY/19305645 </v>
      </c>
      <c r="N175" s="30"/>
    </row>
    <row r="176" spans="1:14" ht="60" x14ac:dyDescent="0.25">
      <c r="A176" s="19" t="s">
        <v>1180</v>
      </c>
      <c r="B176" s="17" t="s">
        <v>1179</v>
      </c>
      <c r="C176" s="20">
        <v>2</v>
      </c>
      <c r="D176" s="18">
        <v>58</v>
      </c>
      <c r="E176" s="20" t="s">
        <v>1178</v>
      </c>
      <c r="F176" s="17" t="s">
        <v>345</v>
      </c>
      <c r="G176" s="19" t="s">
        <v>69</v>
      </c>
      <c r="H176" s="18">
        <v>14.000000000000002</v>
      </c>
      <c r="I176" s="17" t="s">
        <v>133</v>
      </c>
      <c r="J176" s="17" t="s">
        <v>833</v>
      </c>
      <c r="K176" s="17"/>
      <c r="L176" s="17"/>
      <c r="M176" s="16" t="str">
        <f>HYPERLINK("http://slimages.macys.com/is/image/MCY/19305936 ")</f>
        <v xml:space="preserve">http://slimages.macys.com/is/image/MCY/19305936 </v>
      </c>
      <c r="N176" s="30"/>
    </row>
    <row r="177" spans="1:14" ht="60" x14ac:dyDescent="0.25">
      <c r="A177" s="19" t="s">
        <v>4458</v>
      </c>
      <c r="B177" s="17" t="s">
        <v>4457</v>
      </c>
      <c r="C177" s="20">
        <v>9</v>
      </c>
      <c r="D177" s="18">
        <v>58</v>
      </c>
      <c r="E177" s="20" t="s">
        <v>1181</v>
      </c>
      <c r="F177" s="17" t="s">
        <v>345</v>
      </c>
      <c r="G177" s="19" t="s">
        <v>69</v>
      </c>
      <c r="H177" s="18">
        <v>14.000000000000002</v>
      </c>
      <c r="I177" s="17" t="s">
        <v>133</v>
      </c>
      <c r="J177" s="17" t="s">
        <v>833</v>
      </c>
      <c r="K177" s="17"/>
      <c r="L177" s="17"/>
      <c r="M177" s="16" t="str">
        <f>HYPERLINK("http://slimages.macys.com/is/image/MCY/19305645 ")</f>
        <v xml:space="preserve">http://slimages.macys.com/is/image/MCY/19305645 </v>
      </c>
      <c r="N177" s="30"/>
    </row>
    <row r="178" spans="1:14" ht="60" x14ac:dyDescent="0.25">
      <c r="A178" s="19" t="s">
        <v>4456</v>
      </c>
      <c r="B178" s="17" t="s">
        <v>4455</v>
      </c>
      <c r="C178" s="20">
        <v>1</v>
      </c>
      <c r="D178" s="18">
        <v>69.5</v>
      </c>
      <c r="E178" s="20" t="s">
        <v>3677</v>
      </c>
      <c r="F178" s="17" t="s">
        <v>23</v>
      </c>
      <c r="G178" s="19" t="s">
        <v>62</v>
      </c>
      <c r="H178" s="18">
        <v>14.000000000000002</v>
      </c>
      <c r="I178" s="17" t="s">
        <v>106</v>
      </c>
      <c r="J178" s="17" t="s">
        <v>105</v>
      </c>
      <c r="K178" s="17"/>
      <c r="L178" s="17"/>
      <c r="M178" s="16" t="str">
        <f>HYPERLINK("http://slimages.macys.com/is/image/MCY/19027336 ")</f>
        <v xml:space="preserve">http://slimages.macys.com/is/image/MCY/19027336 </v>
      </c>
      <c r="N178" s="30"/>
    </row>
    <row r="179" spans="1:14" ht="60" x14ac:dyDescent="0.25">
      <c r="A179" s="19" t="s">
        <v>4454</v>
      </c>
      <c r="B179" s="17" t="s">
        <v>4453</v>
      </c>
      <c r="C179" s="20">
        <v>82</v>
      </c>
      <c r="D179" s="18">
        <v>69</v>
      </c>
      <c r="E179" s="20" t="s">
        <v>4452</v>
      </c>
      <c r="F179" s="17" t="s">
        <v>562</v>
      </c>
      <c r="G179" s="19" t="s">
        <v>69</v>
      </c>
      <c r="H179" s="18">
        <v>13.799999999999999</v>
      </c>
      <c r="I179" s="17" t="s">
        <v>144</v>
      </c>
      <c r="J179" s="17" t="s">
        <v>496</v>
      </c>
      <c r="K179" s="17"/>
      <c r="L179" s="17"/>
      <c r="M179" s="16" t="str">
        <f>HYPERLINK("http://slimages.macys.com/is/image/MCY/19447723 ")</f>
        <v xml:space="preserve">http://slimages.macys.com/is/image/MCY/19447723 </v>
      </c>
      <c r="N179" s="30"/>
    </row>
    <row r="180" spans="1:14" ht="60" x14ac:dyDescent="0.25">
      <c r="A180" s="19" t="s">
        <v>499</v>
      </c>
      <c r="B180" s="17" t="s">
        <v>498</v>
      </c>
      <c r="C180" s="20">
        <v>1</v>
      </c>
      <c r="D180" s="18">
        <v>69</v>
      </c>
      <c r="E180" s="20" t="s">
        <v>497</v>
      </c>
      <c r="F180" s="17" t="s">
        <v>272</v>
      </c>
      <c r="G180" s="19" t="s">
        <v>74</v>
      </c>
      <c r="H180" s="18">
        <v>13.799999999999999</v>
      </c>
      <c r="I180" s="17" t="s">
        <v>144</v>
      </c>
      <c r="J180" s="17" t="s">
        <v>496</v>
      </c>
      <c r="K180" s="17"/>
      <c r="L180" s="17"/>
      <c r="M180" s="16" t="str">
        <f>HYPERLINK("http://slimages.macys.com/is/image/MCY/19447720 ")</f>
        <v xml:space="preserve">http://slimages.macys.com/is/image/MCY/19447720 </v>
      </c>
      <c r="N180" s="30"/>
    </row>
    <row r="181" spans="1:14" ht="60" x14ac:dyDescent="0.25">
      <c r="A181" s="19" t="s">
        <v>4451</v>
      </c>
      <c r="B181" s="17" t="s">
        <v>4450</v>
      </c>
      <c r="C181" s="20">
        <v>1</v>
      </c>
      <c r="D181" s="18">
        <v>79</v>
      </c>
      <c r="E181" s="20" t="s">
        <v>3669</v>
      </c>
      <c r="F181" s="17" t="s">
        <v>216</v>
      </c>
      <c r="G181" s="19" t="s">
        <v>1397</v>
      </c>
      <c r="H181" s="18">
        <v>13.666666666666666</v>
      </c>
      <c r="I181" s="17" t="s">
        <v>550</v>
      </c>
      <c r="J181" s="17" t="s">
        <v>1090</v>
      </c>
      <c r="K181" s="17"/>
      <c r="L181" s="17"/>
      <c r="M181" s="16" t="str">
        <f>HYPERLINK("http://slimages.macys.com/is/image/MCY/17942386 ")</f>
        <v xml:space="preserve">http://slimages.macys.com/is/image/MCY/17942386 </v>
      </c>
      <c r="N181" s="30"/>
    </row>
    <row r="182" spans="1:14" ht="60" x14ac:dyDescent="0.25">
      <c r="A182" s="19" t="s">
        <v>4449</v>
      </c>
      <c r="B182" s="17" t="s">
        <v>4448</v>
      </c>
      <c r="C182" s="20">
        <v>1</v>
      </c>
      <c r="D182" s="18">
        <v>89</v>
      </c>
      <c r="E182" s="20">
        <v>2321709</v>
      </c>
      <c r="F182" s="17" t="s">
        <v>23</v>
      </c>
      <c r="G182" s="19" t="s">
        <v>22</v>
      </c>
      <c r="H182" s="18">
        <v>13.666666666666666</v>
      </c>
      <c r="I182" s="17" t="s">
        <v>80</v>
      </c>
      <c r="J182" s="17" t="s">
        <v>293</v>
      </c>
      <c r="K182" s="17"/>
      <c r="L182" s="17"/>
      <c r="M182" s="16" t="str">
        <f>HYPERLINK("http://slimages.macys.com/is/image/MCY/18947620 ")</f>
        <v xml:space="preserve">http://slimages.macys.com/is/image/MCY/18947620 </v>
      </c>
      <c r="N182" s="30"/>
    </row>
    <row r="183" spans="1:14" ht="60" x14ac:dyDescent="0.25">
      <c r="A183" s="19" t="s">
        <v>1166</v>
      </c>
      <c r="B183" s="17" t="s">
        <v>1165</v>
      </c>
      <c r="C183" s="20">
        <v>1</v>
      </c>
      <c r="D183" s="18">
        <v>69</v>
      </c>
      <c r="E183" s="20" t="s">
        <v>1164</v>
      </c>
      <c r="F183" s="17" t="s">
        <v>282</v>
      </c>
      <c r="G183" s="19"/>
      <c r="H183" s="18">
        <v>13.333333333333334</v>
      </c>
      <c r="I183" s="17" t="s">
        <v>550</v>
      </c>
      <c r="J183" s="17" t="s">
        <v>1163</v>
      </c>
      <c r="K183" s="17"/>
      <c r="L183" s="17"/>
      <c r="M183" s="16" t="str">
        <f>HYPERLINK("http://slimages.macys.com/is/image/MCY/18241862 ")</f>
        <v xml:space="preserve">http://slimages.macys.com/is/image/MCY/18241862 </v>
      </c>
      <c r="N183" s="30"/>
    </row>
    <row r="184" spans="1:14" ht="60" x14ac:dyDescent="0.25">
      <c r="A184" s="19" t="s">
        <v>4447</v>
      </c>
      <c r="B184" s="17" t="s">
        <v>4446</v>
      </c>
      <c r="C184" s="20">
        <v>1</v>
      </c>
      <c r="D184" s="18">
        <v>55</v>
      </c>
      <c r="E184" s="20" t="s">
        <v>4445</v>
      </c>
      <c r="F184" s="17" t="s">
        <v>164</v>
      </c>
      <c r="G184" s="19" t="s">
        <v>27</v>
      </c>
      <c r="H184" s="18">
        <v>13.22</v>
      </c>
      <c r="I184" s="17" t="s">
        <v>16</v>
      </c>
      <c r="J184" s="17" t="s">
        <v>15</v>
      </c>
      <c r="K184" s="17"/>
      <c r="L184" s="17"/>
      <c r="M184" s="16" t="str">
        <f>HYPERLINK("http://slimages.macys.com/is/image/MCY/18012545 ")</f>
        <v xml:space="preserve">http://slimages.macys.com/is/image/MCY/18012545 </v>
      </c>
      <c r="N184" s="30"/>
    </row>
    <row r="185" spans="1:14" ht="60" x14ac:dyDescent="0.25">
      <c r="A185" s="19" t="s">
        <v>4444</v>
      </c>
      <c r="B185" s="17" t="s">
        <v>4443</v>
      </c>
      <c r="C185" s="20">
        <v>1</v>
      </c>
      <c r="D185" s="18">
        <v>69.5</v>
      </c>
      <c r="E185" s="20" t="s">
        <v>4442</v>
      </c>
      <c r="F185" s="17" t="s">
        <v>35</v>
      </c>
      <c r="G185" s="19" t="s">
        <v>139</v>
      </c>
      <c r="H185" s="18">
        <v>13.206666666666667</v>
      </c>
      <c r="I185" s="17" t="s">
        <v>540</v>
      </c>
      <c r="J185" s="17" t="s">
        <v>105</v>
      </c>
      <c r="K185" s="17"/>
      <c r="L185" s="17"/>
      <c r="M185" s="16" t="str">
        <f>HYPERLINK("http://slimages.macys.com/is/image/MCY/17595656 ")</f>
        <v xml:space="preserve">http://slimages.macys.com/is/image/MCY/17595656 </v>
      </c>
      <c r="N185" s="30"/>
    </row>
    <row r="186" spans="1:14" ht="60" x14ac:dyDescent="0.25">
      <c r="A186" s="19" t="s">
        <v>4441</v>
      </c>
      <c r="B186" s="17" t="s">
        <v>4440</v>
      </c>
      <c r="C186" s="20">
        <v>1</v>
      </c>
      <c r="D186" s="18">
        <v>79</v>
      </c>
      <c r="E186" s="20">
        <v>7031311</v>
      </c>
      <c r="F186" s="17" t="s">
        <v>91</v>
      </c>
      <c r="G186" s="19" t="s">
        <v>116</v>
      </c>
      <c r="H186" s="18">
        <v>13.166666666666668</v>
      </c>
      <c r="I186" s="17" t="s">
        <v>111</v>
      </c>
      <c r="J186" s="17" t="s">
        <v>110</v>
      </c>
      <c r="K186" s="17"/>
      <c r="L186" s="17"/>
      <c r="M186" s="16" t="str">
        <f>HYPERLINK("http://slimages.macys.com/is/image/MCY/19390683 ")</f>
        <v xml:space="preserve">http://slimages.macys.com/is/image/MCY/19390683 </v>
      </c>
      <c r="N186" s="30"/>
    </row>
    <row r="187" spans="1:14" ht="60" x14ac:dyDescent="0.25">
      <c r="A187" s="19" t="s">
        <v>4439</v>
      </c>
      <c r="B187" s="17" t="s">
        <v>4438</v>
      </c>
      <c r="C187" s="20">
        <v>1</v>
      </c>
      <c r="D187" s="18">
        <v>79</v>
      </c>
      <c r="E187" s="20">
        <v>7099038</v>
      </c>
      <c r="F187" s="17" t="s">
        <v>390</v>
      </c>
      <c r="G187" s="19" t="s">
        <v>101</v>
      </c>
      <c r="H187" s="18">
        <v>13.166666666666668</v>
      </c>
      <c r="I187" s="17" t="s">
        <v>111</v>
      </c>
      <c r="J187" s="17" t="s">
        <v>110</v>
      </c>
      <c r="K187" s="17" t="s">
        <v>389</v>
      </c>
      <c r="L187" s="17" t="s">
        <v>388</v>
      </c>
      <c r="M187" s="16" t="str">
        <f>HYPERLINK("http://slimages.macys.com/is/image/MCY/12304764 ")</f>
        <v xml:space="preserve">http://slimages.macys.com/is/image/MCY/12304764 </v>
      </c>
      <c r="N187" s="30"/>
    </row>
    <row r="188" spans="1:14" ht="60" x14ac:dyDescent="0.25">
      <c r="A188" s="19" t="s">
        <v>4437</v>
      </c>
      <c r="B188" s="17" t="s">
        <v>4436</v>
      </c>
      <c r="C188" s="20">
        <v>1</v>
      </c>
      <c r="D188" s="18">
        <v>69.5</v>
      </c>
      <c r="E188" s="20" t="s">
        <v>4435</v>
      </c>
      <c r="F188" s="17" t="s">
        <v>58</v>
      </c>
      <c r="G188" s="19" t="s">
        <v>682</v>
      </c>
      <c r="H188" s="18">
        <v>13.086666666666668</v>
      </c>
      <c r="I188" s="17" t="s">
        <v>68</v>
      </c>
      <c r="J188" s="17" t="s">
        <v>67</v>
      </c>
      <c r="K188" s="17"/>
      <c r="L188" s="17"/>
      <c r="M188" s="16" t="str">
        <f>HYPERLINK("http://slimages.macys.com/is/image/MCY/16591977 ")</f>
        <v xml:space="preserve">http://slimages.macys.com/is/image/MCY/16591977 </v>
      </c>
      <c r="N188" s="30"/>
    </row>
    <row r="189" spans="1:14" ht="60" x14ac:dyDescent="0.25">
      <c r="A189" s="19" t="s">
        <v>4434</v>
      </c>
      <c r="B189" s="17" t="s">
        <v>4433</v>
      </c>
      <c r="C189" s="20">
        <v>1</v>
      </c>
      <c r="D189" s="18">
        <v>69.5</v>
      </c>
      <c r="E189" s="20" t="s">
        <v>4432</v>
      </c>
      <c r="F189" s="17" t="s">
        <v>28</v>
      </c>
      <c r="G189" s="19" t="s">
        <v>139</v>
      </c>
      <c r="H189" s="18">
        <v>13.086666666666668</v>
      </c>
      <c r="I189" s="17" t="s">
        <v>1891</v>
      </c>
      <c r="J189" s="17" t="s">
        <v>67</v>
      </c>
      <c r="K189" s="17"/>
      <c r="L189" s="17"/>
      <c r="M189" s="16" t="str">
        <f>HYPERLINK("http://slimages.macys.com/is/image/MCY/16862309 ")</f>
        <v xml:space="preserve">http://slimages.macys.com/is/image/MCY/16862309 </v>
      </c>
      <c r="N189" s="30"/>
    </row>
    <row r="190" spans="1:14" ht="60" x14ac:dyDescent="0.25">
      <c r="A190" s="19" t="s">
        <v>3615</v>
      </c>
      <c r="B190" s="17" t="s">
        <v>3614</v>
      </c>
      <c r="C190" s="20">
        <v>1</v>
      </c>
      <c r="D190" s="18">
        <v>69.5</v>
      </c>
      <c r="E190" s="20" t="s">
        <v>452</v>
      </c>
      <c r="F190" s="17" t="s">
        <v>91</v>
      </c>
      <c r="G190" s="19" t="s">
        <v>57</v>
      </c>
      <c r="H190" s="18">
        <v>13.086666666666668</v>
      </c>
      <c r="I190" s="17" t="s">
        <v>56</v>
      </c>
      <c r="J190" s="17" t="s">
        <v>55</v>
      </c>
      <c r="K190" s="17"/>
      <c r="L190" s="17"/>
      <c r="M190" s="16" t="str">
        <f>HYPERLINK("http://slimages.macys.com/is/image/MCY/19395484 ")</f>
        <v xml:space="preserve">http://slimages.macys.com/is/image/MCY/19395484 </v>
      </c>
      <c r="N190" s="30"/>
    </row>
    <row r="191" spans="1:14" ht="60" x14ac:dyDescent="0.25">
      <c r="A191" s="19" t="s">
        <v>4431</v>
      </c>
      <c r="B191" s="17" t="s">
        <v>4430</v>
      </c>
      <c r="C191" s="20">
        <v>1</v>
      </c>
      <c r="D191" s="18">
        <v>69.5</v>
      </c>
      <c r="E191" s="20" t="s">
        <v>4429</v>
      </c>
      <c r="F191" s="17" t="s">
        <v>272</v>
      </c>
      <c r="G191" s="19" t="s">
        <v>69</v>
      </c>
      <c r="H191" s="18">
        <v>13.086666666666668</v>
      </c>
      <c r="I191" s="17" t="s">
        <v>56</v>
      </c>
      <c r="J191" s="17" t="s">
        <v>55</v>
      </c>
      <c r="K191" s="17"/>
      <c r="L191" s="17"/>
      <c r="M191" s="16" t="str">
        <f>HYPERLINK("http://slimages.macys.com/is/image/MCY/19365117 ")</f>
        <v xml:space="preserve">http://slimages.macys.com/is/image/MCY/19365117 </v>
      </c>
      <c r="N191" s="30"/>
    </row>
    <row r="192" spans="1:14" ht="60" x14ac:dyDescent="0.25">
      <c r="A192" s="19" t="s">
        <v>4428</v>
      </c>
      <c r="B192" s="17" t="s">
        <v>4427</v>
      </c>
      <c r="C192" s="20">
        <v>1</v>
      </c>
      <c r="D192" s="18">
        <v>69.5</v>
      </c>
      <c r="E192" s="20" t="s">
        <v>4426</v>
      </c>
      <c r="F192" s="17" t="s">
        <v>272</v>
      </c>
      <c r="G192" s="19" t="s">
        <v>69</v>
      </c>
      <c r="H192" s="18">
        <v>13.086666666666668</v>
      </c>
      <c r="I192" s="17" t="s">
        <v>56</v>
      </c>
      <c r="J192" s="17" t="s">
        <v>55</v>
      </c>
      <c r="K192" s="17" t="s">
        <v>389</v>
      </c>
      <c r="L192" s="17" t="s">
        <v>388</v>
      </c>
      <c r="M192" s="16" t="str">
        <f>HYPERLINK("http://slimages.macys.com/is/image/MCY/12803377 ")</f>
        <v xml:space="preserve">http://slimages.macys.com/is/image/MCY/12803377 </v>
      </c>
      <c r="N192" s="30"/>
    </row>
    <row r="193" spans="1:14" ht="60" x14ac:dyDescent="0.25">
      <c r="A193" s="19" t="s">
        <v>4425</v>
      </c>
      <c r="B193" s="17" t="s">
        <v>4424</v>
      </c>
      <c r="C193" s="20">
        <v>1</v>
      </c>
      <c r="D193" s="18">
        <v>69.5</v>
      </c>
      <c r="E193" s="20" t="s">
        <v>4423</v>
      </c>
      <c r="F193" s="17" t="s">
        <v>23</v>
      </c>
      <c r="G193" s="19" t="s">
        <v>57</v>
      </c>
      <c r="H193" s="18">
        <v>13.086666666666668</v>
      </c>
      <c r="I193" s="17" t="s">
        <v>68</v>
      </c>
      <c r="J193" s="17" t="s">
        <v>67</v>
      </c>
      <c r="K193" s="17"/>
      <c r="L193" s="17"/>
      <c r="M193" s="16" t="str">
        <f>HYPERLINK("http://slimages.macys.com/is/image/MCY/19180350 ")</f>
        <v xml:space="preserve">http://slimages.macys.com/is/image/MCY/19180350 </v>
      </c>
      <c r="N193" s="30"/>
    </row>
    <row r="194" spans="1:14" ht="60" x14ac:dyDescent="0.25">
      <c r="A194" s="19" t="s">
        <v>4422</v>
      </c>
      <c r="B194" s="17" t="s">
        <v>4421</v>
      </c>
      <c r="C194" s="20">
        <v>1</v>
      </c>
      <c r="D194" s="18">
        <v>69.5</v>
      </c>
      <c r="E194" s="20" t="s">
        <v>3601</v>
      </c>
      <c r="F194" s="17" t="s">
        <v>216</v>
      </c>
      <c r="G194" s="19"/>
      <c r="H194" s="18">
        <v>13.086666666666668</v>
      </c>
      <c r="I194" s="17" t="s">
        <v>1891</v>
      </c>
      <c r="J194" s="17" t="s">
        <v>67</v>
      </c>
      <c r="K194" s="17"/>
      <c r="L194" s="17"/>
      <c r="M194" s="16" t="str">
        <f>HYPERLINK("http://slimages.macys.com/is/image/MCY/18981762 ")</f>
        <v xml:space="preserve">http://slimages.macys.com/is/image/MCY/18981762 </v>
      </c>
      <c r="N194" s="30"/>
    </row>
    <row r="195" spans="1:14" ht="60" x14ac:dyDescent="0.25">
      <c r="A195" s="19" t="s">
        <v>3603</v>
      </c>
      <c r="B195" s="17" t="s">
        <v>3602</v>
      </c>
      <c r="C195" s="20">
        <v>1</v>
      </c>
      <c r="D195" s="18">
        <v>69.5</v>
      </c>
      <c r="E195" s="20" t="s">
        <v>3601</v>
      </c>
      <c r="F195" s="17" t="s">
        <v>216</v>
      </c>
      <c r="G195" s="19" t="s">
        <v>351</v>
      </c>
      <c r="H195" s="18">
        <v>13.086666666666668</v>
      </c>
      <c r="I195" s="17" t="s">
        <v>1891</v>
      </c>
      <c r="J195" s="17" t="s">
        <v>67</v>
      </c>
      <c r="K195" s="17"/>
      <c r="L195" s="17"/>
      <c r="M195" s="16" t="str">
        <f>HYPERLINK("http://slimages.macys.com/is/image/MCY/18981762 ")</f>
        <v xml:space="preserve">http://slimages.macys.com/is/image/MCY/18981762 </v>
      </c>
      <c r="N195" s="30"/>
    </row>
    <row r="196" spans="1:14" ht="60" x14ac:dyDescent="0.25">
      <c r="A196" s="19" t="s">
        <v>3632</v>
      </c>
      <c r="B196" s="17" t="s">
        <v>3631</v>
      </c>
      <c r="C196" s="20">
        <v>4</v>
      </c>
      <c r="D196" s="18">
        <v>69.5</v>
      </c>
      <c r="E196" s="20" t="s">
        <v>3601</v>
      </c>
      <c r="F196" s="17" t="s">
        <v>216</v>
      </c>
      <c r="G196" s="19" t="s">
        <v>139</v>
      </c>
      <c r="H196" s="18">
        <v>13.086666666666668</v>
      </c>
      <c r="I196" s="17" t="s">
        <v>1891</v>
      </c>
      <c r="J196" s="17" t="s">
        <v>67</v>
      </c>
      <c r="K196" s="17"/>
      <c r="L196" s="17"/>
      <c r="M196" s="16" t="str">
        <f>HYPERLINK("http://slimages.macys.com/is/image/MCY/18981762 ")</f>
        <v xml:space="preserve">http://slimages.macys.com/is/image/MCY/18981762 </v>
      </c>
      <c r="N196" s="30"/>
    </row>
    <row r="197" spans="1:14" ht="60" x14ac:dyDescent="0.25">
      <c r="A197" s="19" t="s">
        <v>4420</v>
      </c>
      <c r="B197" s="17" t="s">
        <v>4419</v>
      </c>
      <c r="C197" s="20">
        <v>1</v>
      </c>
      <c r="D197" s="18">
        <v>69.5</v>
      </c>
      <c r="E197" s="20" t="s">
        <v>4418</v>
      </c>
      <c r="F197" s="17" t="s">
        <v>206</v>
      </c>
      <c r="G197" s="19" t="s">
        <v>69</v>
      </c>
      <c r="H197" s="18">
        <v>13.086666666666668</v>
      </c>
      <c r="I197" s="17" t="s">
        <v>56</v>
      </c>
      <c r="J197" s="17" t="s">
        <v>55</v>
      </c>
      <c r="K197" s="17"/>
      <c r="L197" s="17"/>
      <c r="M197" s="16" t="str">
        <f>HYPERLINK("http://slimages.macys.com/is/image/MCY/18917708 ")</f>
        <v xml:space="preserve">http://slimages.macys.com/is/image/MCY/18917708 </v>
      </c>
      <c r="N197" s="30"/>
    </row>
    <row r="198" spans="1:14" ht="60" x14ac:dyDescent="0.25">
      <c r="A198" s="19" t="s">
        <v>4417</v>
      </c>
      <c r="B198" s="17" t="s">
        <v>4416</v>
      </c>
      <c r="C198" s="20">
        <v>13</v>
      </c>
      <c r="D198" s="18">
        <v>69.5</v>
      </c>
      <c r="E198" s="20" t="s">
        <v>4415</v>
      </c>
      <c r="F198" s="17" t="s">
        <v>58</v>
      </c>
      <c r="G198" s="19" t="s">
        <v>57</v>
      </c>
      <c r="H198" s="18">
        <v>13.086666666666668</v>
      </c>
      <c r="I198" s="17" t="s">
        <v>56</v>
      </c>
      <c r="J198" s="17" t="s">
        <v>55</v>
      </c>
      <c r="K198" s="17"/>
      <c r="L198" s="17"/>
      <c r="M198" s="16" t="str">
        <f>HYPERLINK("http://slimages.macys.com/is/image/MCY/19228871 ")</f>
        <v xml:space="preserve">http://slimages.macys.com/is/image/MCY/19228871 </v>
      </c>
      <c r="N198" s="30"/>
    </row>
    <row r="199" spans="1:14" ht="60" x14ac:dyDescent="0.25">
      <c r="A199" s="19" t="s">
        <v>4414</v>
      </c>
      <c r="B199" s="17" t="s">
        <v>4413</v>
      </c>
      <c r="C199" s="20">
        <v>1</v>
      </c>
      <c r="D199" s="18">
        <v>69.5</v>
      </c>
      <c r="E199" s="20" t="s">
        <v>443</v>
      </c>
      <c r="F199" s="17" t="s">
        <v>263</v>
      </c>
      <c r="G199" s="19" t="s">
        <v>74</v>
      </c>
      <c r="H199" s="18">
        <v>13.086666666666668</v>
      </c>
      <c r="I199" s="17" t="s">
        <v>68</v>
      </c>
      <c r="J199" s="17" t="s">
        <v>67</v>
      </c>
      <c r="K199" s="17"/>
      <c r="L199" s="17"/>
      <c r="M199" s="16" t="str">
        <f>HYPERLINK("http://slimages.macys.com/is/image/MCY/16688814 ")</f>
        <v xml:space="preserve">http://slimages.macys.com/is/image/MCY/16688814 </v>
      </c>
      <c r="N199" s="30"/>
    </row>
    <row r="200" spans="1:14" ht="60" x14ac:dyDescent="0.25">
      <c r="A200" s="19" t="s">
        <v>4412</v>
      </c>
      <c r="B200" s="17" t="s">
        <v>4411</v>
      </c>
      <c r="C200" s="20">
        <v>1</v>
      </c>
      <c r="D200" s="18">
        <v>69.5</v>
      </c>
      <c r="E200" s="20" t="s">
        <v>443</v>
      </c>
      <c r="F200" s="17" t="s">
        <v>28</v>
      </c>
      <c r="G200" s="19" t="s">
        <v>57</v>
      </c>
      <c r="H200" s="18">
        <v>13.086666666666668</v>
      </c>
      <c r="I200" s="17" t="s">
        <v>68</v>
      </c>
      <c r="J200" s="17" t="s">
        <v>67</v>
      </c>
      <c r="K200" s="17"/>
      <c r="L200" s="17"/>
      <c r="M200" s="16" t="str">
        <f>HYPERLINK("http://slimages.macys.com/is/image/MCY/16688814 ")</f>
        <v xml:space="preserve">http://slimages.macys.com/is/image/MCY/16688814 </v>
      </c>
      <c r="N200" s="30"/>
    </row>
    <row r="201" spans="1:14" ht="60" x14ac:dyDescent="0.25">
      <c r="A201" s="19" t="s">
        <v>1153</v>
      </c>
      <c r="B201" s="17" t="s">
        <v>1152</v>
      </c>
      <c r="C201" s="20">
        <v>2</v>
      </c>
      <c r="D201" s="18">
        <v>51.75</v>
      </c>
      <c r="E201" s="20" t="s">
        <v>1144</v>
      </c>
      <c r="F201" s="17" t="s">
        <v>272</v>
      </c>
      <c r="G201" s="19" t="s">
        <v>139</v>
      </c>
      <c r="H201" s="18">
        <v>13.020000000000001</v>
      </c>
      <c r="I201" s="17" t="s">
        <v>358</v>
      </c>
      <c r="J201" s="17" t="s">
        <v>32</v>
      </c>
      <c r="K201" s="17"/>
      <c r="L201" s="17"/>
      <c r="M201" s="16" t="str">
        <f>HYPERLINK("http://slimages.macys.com/is/image/MCY/19728027 ")</f>
        <v xml:space="preserve">http://slimages.macys.com/is/image/MCY/19728027 </v>
      </c>
      <c r="N201" s="30"/>
    </row>
    <row r="202" spans="1:14" ht="60" x14ac:dyDescent="0.25">
      <c r="A202" s="19" t="s">
        <v>1143</v>
      </c>
      <c r="B202" s="17" t="s">
        <v>1142</v>
      </c>
      <c r="C202" s="20">
        <v>1</v>
      </c>
      <c r="D202" s="18">
        <v>59</v>
      </c>
      <c r="E202" s="20" t="s">
        <v>1141</v>
      </c>
      <c r="F202" s="17" t="s">
        <v>562</v>
      </c>
      <c r="G202" s="19" t="s">
        <v>1140</v>
      </c>
      <c r="H202" s="18">
        <v>13.013333333333334</v>
      </c>
      <c r="I202" s="17" t="s">
        <v>49</v>
      </c>
      <c r="J202" s="17" t="s">
        <v>48</v>
      </c>
      <c r="K202" s="17"/>
      <c r="L202" s="17"/>
      <c r="M202" s="16" t="str">
        <f>HYPERLINK("http://slimages.macys.com/is/image/MCY/19379573 ")</f>
        <v xml:space="preserve">http://slimages.macys.com/is/image/MCY/19379573 </v>
      </c>
      <c r="N202" s="30"/>
    </row>
    <row r="203" spans="1:14" ht="60" x14ac:dyDescent="0.25">
      <c r="A203" s="19" t="s">
        <v>1132</v>
      </c>
      <c r="B203" s="17" t="s">
        <v>1131</v>
      </c>
      <c r="C203" s="20">
        <v>1</v>
      </c>
      <c r="D203" s="18">
        <v>69</v>
      </c>
      <c r="E203" s="20" t="s">
        <v>1130</v>
      </c>
      <c r="F203" s="17" t="s">
        <v>91</v>
      </c>
      <c r="G203" s="19" t="s">
        <v>69</v>
      </c>
      <c r="H203" s="18">
        <v>12.993333333333334</v>
      </c>
      <c r="I203" s="17" t="s">
        <v>56</v>
      </c>
      <c r="J203" s="17" t="s">
        <v>55</v>
      </c>
      <c r="K203" s="17" t="s">
        <v>389</v>
      </c>
      <c r="L203" s="17" t="s">
        <v>1129</v>
      </c>
      <c r="M203" s="16" t="str">
        <f>HYPERLINK("http://slimages.macys.com/is/image/MCY/15870463 ")</f>
        <v xml:space="preserve">http://slimages.macys.com/is/image/MCY/15870463 </v>
      </c>
      <c r="N203" s="30"/>
    </row>
    <row r="204" spans="1:14" ht="60" x14ac:dyDescent="0.25">
      <c r="A204" s="19" t="s">
        <v>4410</v>
      </c>
      <c r="B204" s="17" t="s">
        <v>4409</v>
      </c>
      <c r="C204" s="20">
        <v>1</v>
      </c>
      <c r="D204" s="18">
        <v>69</v>
      </c>
      <c r="E204" s="20" t="s">
        <v>1133</v>
      </c>
      <c r="F204" s="17" t="s">
        <v>272</v>
      </c>
      <c r="G204" s="19" t="s">
        <v>197</v>
      </c>
      <c r="H204" s="18">
        <v>12.993333333333334</v>
      </c>
      <c r="I204" s="17" t="s">
        <v>56</v>
      </c>
      <c r="J204" s="17" t="s">
        <v>55</v>
      </c>
      <c r="K204" s="17" t="s">
        <v>389</v>
      </c>
      <c r="L204" s="17" t="s">
        <v>1129</v>
      </c>
      <c r="M204" s="16" t="str">
        <f>HYPERLINK("http://slimages.macys.com/is/image/MCY/13744269 ")</f>
        <v xml:space="preserve">http://slimages.macys.com/is/image/MCY/13744269 </v>
      </c>
      <c r="N204" s="30"/>
    </row>
    <row r="205" spans="1:14" ht="60" x14ac:dyDescent="0.25">
      <c r="A205" s="19" t="s">
        <v>4408</v>
      </c>
      <c r="B205" s="17" t="s">
        <v>4407</v>
      </c>
      <c r="C205" s="20">
        <v>1</v>
      </c>
      <c r="D205" s="18">
        <v>69</v>
      </c>
      <c r="E205" s="20" t="s">
        <v>1130</v>
      </c>
      <c r="F205" s="17" t="s">
        <v>51</v>
      </c>
      <c r="G205" s="19" t="s">
        <v>57</v>
      </c>
      <c r="H205" s="18">
        <v>12.993333333333334</v>
      </c>
      <c r="I205" s="17" t="s">
        <v>56</v>
      </c>
      <c r="J205" s="17" t="s">
        <v>55</v>
      </c>
      <c r="K205" s="17" t="s">
        <v>389</v>
      </c>
      <c r="L205" s="17" t="s">
        <v>1129</v>
      </c>
      <c r="M205" s="16" t="str">
        <f>HYPERLINK("http://slimages.macys.com/is/image/MCY/15870463 ")</f>
        <v xml:space="preserve">http://slimages.macys.com/is/image/MCY/15870463 </v>
      </c>
      <c r="N205" s="30"/>
    </row>
    <row r="206" spans="1:14" ht="60" x14ac:dyDescent="0.25">
      <c r="A206" s="19" t="s">
        <v>4406</v>
      </c>
      <c r="B206" s="17" t="s">
        <v>4405</v>
      </c>
      <c r="C206" s="20">
        <v>1</v>
      </c>
      <c r="D206" s="18">
        <v>69</v>
      </c>
      <c r="E206" s="20">
        <v>10730384</v>
      </c>
      <c r="F206" s="17" t="s">
        <v>51</v>
      </c>
      <c r="G206" s="19" t="s">
        <v>74</v>
      </c>
      <c r="H206" s="18">
        <v>12.88</v>
      </c>
      <c r="I206" s="17" t="s">
        <v>120</v>
      </c>
      <c r="J206" s="17" t="s">
        <v>119</v>
      </c>
      <c r="K206" s="17"/>
      <c r="L206" s="17"/>
      <c r="M206" s="16" t="str">
        <f>HYPERLINK("http://slimages.macys.com/is/image/MCY/18375221 ")</f>
        <v xml:space="preserve">http://slimages.macys.com/is/image/MCY/18375221 </v>
      </c>
      <c r="N206" s="30"/>
    </row>
    <row r="207" spans="1:14" ht="60" x14ac:dyDescent="0.25">
      <c r="A207" s="19" t="s">
        <v>4404</v>
      </c>
      <c r="B207" s="17" t="s">
        <v>4403</v>
      </c>
      <c r="C207" s="20">
        <v>2</v>
      </c>
      <c r="D207" s="18">
        <v>69</v>
      </c>
      <c r="E207" s="20">
        <v>10730432</v>
      </c>
      <c r="F207" s="17" t="s">
        <v>51</v>
      </c>
      <c r="G207" s="19" t="s">
        <v>74</v>
      </c>
      <c r="H207" s="18">
        <v>12.88</v>
      </c>
      <c r="I207" s="17" t="s">
        <v>120</v>
      </c>
      <c r="J207" s="17" t="s">
        <v>119</v>
      </c>
      <c r="K207" s="17" t="s">
        <v>389</v>
      </c>
      <c r="L207" s="17" t="s">
        <v>662</v>
      </c>
      <c r="M207" s="16" t="str">
        <f>HYPERLINK("http://slimages.macys.com/is/image/MCY/15944824 ")</f>
        <v xml:space="preserve">http://slimages.macys.com/is/image/MCY/15944824 </v>
      </c>
      <c r="N207" s="30"/>
    </row>
    <row r="208" spans="1:14" ht="60" x14ac:dyDescent="0.25">
      <c r="A208" s="19" t="s">
        <v>4402</v>
      </c>
      <c r="B208" s="17" t="s">
        <v>4401</v>
      </c>
      <c r="C208" s="20">
        <v>1</v>
      </c>
      <c r="D208" s="18">
        <v>69.5</v>
      </c>
      <c r="E208" s="20" t="s">
        <v>4400</v>
      </c>
      <c r="F208" s="17" t="s">
        <v>51</v>
      </c>
      <c r="G208" s="19" t="s">
        <v>139</v>
      </c>
      <c r="H208" s="18">
        <v>12.74</v>
      </c>
      <c r="I208" s="17" t="s">
        <v>267</v>
      </c>
      <c r="J208" s="17" t="s">
        <v>32</v>
      </c>
      <c r="K208" s="17"/>
      <c r="L208" s="17"/>
      <c r="M208" s="16" t="str">
        <f>HYPERLINK("http://slimages.macys.com/is/image/MCY/18747836 ")</f>
        <v xml:space="preserve">http://slimages.macys.com/is/image/MCY/18747836 </v>
      </c>
      <c r="N208" s="30"/>
    </row>
    <row r="209" spans="1:14" ht="60" x14ac:dyDescent="0.25">
      <c r="A209" s="19" t="s">
        <v>4399</v>
      </c>
      <c r="B209" s="17" t="s">
        <v>4398</v>
      </c>
      <c r="C209" s="20">
        <v>1</v>
      </c>
      <c r="D209" s="18">
        <v>69</v>
      </c>
      <c r="E209" s="20" t="s">
        <v>4397</v>
      </c>
      <c r="F209" s="17" t="s">
        <v>51</v>
      </c>
      <c r="G209" s="19" t="s">
        <v>43</v>
      </c>
      <c r="H209" s="18">
        <v>12.74</v>
      </c>
      <c r="I209" s="17" t="s">
        <v>405</v>
      </c>
      <c r="J209" s="17" t="s">
        <v>404</v>
      </c>
      <c r="K209" s="17"/>
      <c r="L209" s="17"/>
      <c r="M209" s="16" t="str">
        <f>HYPERLINK("http://slimages.macys.com/is/image/MCY/17417634 ")</f>
        <v xml:space="preserve">http://slimages.macys.com/is/image/MCY/17417634 </v>
      </c>
      <c r="N209" s="30"/>
    </row>
    <row r="210" spans="1:14" ht="60" x14ac:dyDescent="0.25">
      <c r="A210" s="19" t="s">
        <v>4396</v>
      </c>
      <c r="B210" s="17" t="s">
        <v>4395</v>
      </c>
      <c r="C210" s="20">
        <v>1</v>
      </c>
      <c r="D210" s="18">
        <v>69</v>
      </c>
      <c r="E210" s="20" t="s">
        <v>4394</v>
      </c>
      <c r="F210" s="17" t="s">
        <v>23</v>
      </c>
      <c r="G210" s="19" t="s">
        <v>62</v>
      </c>
      <c r="H210" s="18">
        <v>12.74</v>
      </c>
      <c r="I210" s="17" t="s">
        <v>405</v>
      </c>
      <c r="J210" s="17" t="s">
        <v>404</v>
      </c>
      <c r="K210" s="17"/>
      <c r="L210" s="17"/>
      <c r="M210" s="16" t="str">
        <f>HYPERLINK("http://slimages.macys.com/is/image/MCY/19217719 ")</f>
        <v xml:space="preserve">http://slimages.macys.com/is/image/MCY/19217719 </v>
      </c>
      <c r="N210" s="30"/>
    </row>
    <row r="211" spans="1:14" ht="60" x14ac:dyDescent="0.25">
      <c r="A211" s="19" t="s">
        <v>4393</v>
      </c>
      <c r="B211" s="17" t="s">
        <v>4392</v>
      </c>
      <c r="C211" s="20">
        <v>3</v>
      </c>
      <c r="D211" s="18">
        <v>48.3</v>
      </c>
      <c r="E211" s="20" t="s">
        <v>1895</v>
      </c>
      <c r="F211" s="17" t="s">
        <v>28</v>
      </c>
      <c r="G211" s="19" t="s">
        <v>57</v>
      </c>
      <c r="H211" s="18">
        <v>12.6</v>
      </c>
      <c r="I211" s="17" t="s">
        <v>42</v>
      </c>
      <c r="J211" s="17" t="s">
        <v>41</v>
      </c>
      <c r="K211" s="17"/>
      <c r="L211" s="17"/>
      <c r="M211" s="16" t="str">
        <f>HYPERLINK("http://slimages.macys.com/is/image/MCY/18545224 ")</f>
        <v xml:space="preserve">http://slimages.macys.com/is/image/MCY/18545224 </v>
      </c>
      <c r="N211" s="30"/>
    </row>
    <row r="212" spans="1:14" ht="60" x14ac:dyDescent="0.25">
      <c r="A212" s="19" t="s">
        <v>4391</v>
      </c>
      <c r="B212" s="17" t="s">
        <v>4390</v>
      </c>
      <c r="C212" s="20">
        <v>6</v>
      </c>
      <c r="D212" s="18">
        <v>48.3</v>
      </c>
      <c r="E212" s="20" t="s">
        <v>1895</v>
      </c>
      <c r="F212" s="17" t="s">
        <v>51</v>
      </c>
      <c r="G212" s="19" t="s">
        <v>197</v>
      </c>
      <c r="H212" s="18">
        <v>12.6</v>
      </c>
      <c r="I212" s="17" t="s">
        <v>42</v>
      </c>
      <c r="J212" s="17" t="s">
        <v>41</v>
      </c>
      <c r="K212" s="17"/>
      <c r="L212" s="17"/>
      <c r="M212" s="16" t="str">
        <f>HYPERLINK("http://slimages.macys.com/is/image/MCY/19187460 ")</f>
        <v xml:space="preserve">http://slimages.macys.com/is/image/MCY/19187460 </v>
      </c>
      <c r="N212" s="30"/>
    </row>
    <row r="213" spans="1:14" ht="60" x14ac:dyDescent="0.25">
      <c r="A213" s="19" t="s">
        <v>3574</v>
      </c>
      <c r="B213" s="17" t="s">
        <v>3573</v>
      </c>
      <c r="C213" s="20">
        <v>2</v>
      </c>
      <c r="D213" s="18">
        <v>48.3</v>
      </c>
      <c r="E213" s="20" t="s">
        <v>1895</v>
      </c>
      <c r="F213" s="17" t="s">
        <v>51</v>
      </c>
      <c r="G213" s="19" t="s">
        <v>69</v>
      </c>
      <c r="H213" s="18">
        <v>12.6</v>
      </c>
      <c r="I213" s="17" t="s">
        <v>42</v>
      </c>
      <c r="J213" s="17" t="s">
        <v>41</v>
      </c>
      <c r="K213" s="17"/>
      <c r="L213" s="17"/>
      <c r="M213" s="16" t="str">
        <f>HYPERLINK("http://slimages.macys.com/is/image/MCY/19187460 ")</f>
        <v xml:space="preserve">http://slimages.macys.com/is/image/MCY/19187460 </v>
      </c>
      <c r="N213" s="30"/>
    </row>
    <row r="214" spans="1:14" ht="60" x14ac:dyDescent="0.25">
      <c r="A214" s="19" t="s">
        <v>1897</v>
      </c>
      <c r="B214" s="17" t="s">
        <v>1896</v>
      </c>
      <c r="C214" s="20">
        <v>1</v>
      </c>
      <c r="D214" s="18">
        <v>48.3</v>
      </c>
      <c r="E214" s="20" t="s">
        <v>1895</v>
      </c>
      <c r="F214" s="17" t="s">
        <v>28</v>
      </c>
      <c r="G214" s="19" t="s">
        <v>69</v>
      </c>
      <c r="H214" s="18">
        <v>12.6</v>
      </c>
      <c r="I214" s="17" t="s">
        <v>42</v>
      </c>
      <c r="J214" s="17" t="s">
        <v>41</v>
      </c>
      <c r="K214" s="17"/>
      <c r="L214" s="17"/>
      <c r="M214" s="16" t="str">
        <f>HYPERLINK("http://slimages.macys.com/is/image/MCY/19187460 ")</f>
        <v xml:space="preserve">http://slimages.macys.com/is/image/MCY/19187460 </v>
      </c>
      <c r="N214" s="30"/>
    </row>
    <row r="215" spans="1:14" ht="60" x14ac:dyDescent="0.25">
      <c r="A215" s="19" t="s">
        <v>4389</v>
      </c>
      <c r="B215" s="17" t="s">
        <v>4388</v>
      </c>
      <c r="C215" s="20">
        <v>2</v>
      </c>
      <c r="D215" s="18">
        <v>59</v>
      </c>
      <c r="E215" s="20">
        <v>10797428</v>
      </c>
      <c r="F215" s="17" t="s">
        <v>272</v>
      </c>
      <c r="G215" s="19" t="s">
        <v>69</v>
      </c>
      <c r="H215" s="18">
        <v>12.193333333333333</v>
      </c>
      <c r="I215" s="17" t="s">
        <v>144</v>
      </c>
      <c r="J215" s="17" t="s">
        <v>143</v>
      </c>
      <c r="K215" s="17"/>
      <c r="L215" s="17"/>
      <c r="M215" s="16" t="str">
        <f>HYPERLINK("http://slimages.macys.com/is/image/MCY/18462465 ")</f>
        <v xml:space="preserve">http://slimages.macys.com/is/image/MCY/18462465 </v>
      </c>
      <c r="N215" s="30"/>
    </row>
    <row r="216" spans="1:14" ht="60" x14ac:dyDescent="0.25">
      <c r="A216" s="19" t="s">
        <v>4387</v>
      </c>
      <c r="B216" s="17" t="s">
        <v>4386</v>
      </c>
      <c r="C216" s="20">
        <v>1</v>
      </c>
      <c r="D216" s="18">
        <v>59.5</v>
      </c>
      <c r="E216" s="20" t="s">
        <v>4385</v>
      </c>
      <c r="F216" s="17" t="s">
        <v>63</v>
      </c>
      <c r="G216" s="19"/>
      <c r="H216" s="18">
        <v>12.146666666666668</v>
      </c>
      <c r="I216" s="17" t="s">
        <v>1891</v>
      </c>
      <c r="J216" s="17" t="s">
        <v>67</v>
      </c>
      <c r="K216" s="17"/>
      <c r="L216" s="17"/>
      <c r="M216" s="16" t="str">
        <f>HYPERLINK("http://slimages.macys.com/is/image/MCY/16619524 ")</f>
        <v xml:space="preserve">http://slimages.macys.com/is/image/MCY/16619524 </v>
      </c>
      <c r="N216" s="30"/>
    </row>
    <row r="217" spans="1:14" ht="60" x14ac:dyDescent="0.25">
      <c r="A217" s="19" t="s">
        <v>4384</v>
      </c>
      <c r="B217" s="17" t="s">
        <v>4383</v>
      </c>
      <c r="C217" s="20">
        <v>1</v>
      </c>
      <c r="D217" s="18">
        <v>50</v>
      </c>
      <c r="E217" s="20" t="s">
        <v>4382</v>
      </c>
      <c r="F217" s="17" t="s">
        <v>28</v>
      </c>
      <c r="G217" s="19" t="s">
        <v>101</v>
      </c>
      <c r="H217" s="18">
        <v>12.093333333333334</v>
      </c>
      <c r="I217" s="17" t="s">
        <v>16</v>
      </c>
      <c r="J217" s="17" t="s">
        <v>15</v>
      </c>
      <c r="K217" s="17" t="s">
        <v>389</v>
      </c>
      <c r="L217" s="17" t="s">
        <v>388</v>
      </c>
      <c r="M217" s="16" t="str">
        <f>HYPERLINK("http://slimages.macys.com/is/image/MCY/16261790 ")</f>
        <v xml:space="preserve">http://slimages.macys.com/is/image/MCY/16261790 </v>
      </c>
      <c r="N217" s="30"/>
    </row>
    <row r="218" spans="1:14" ht="60" x14ac:dyDescent="0.25">
      <c r="A218" s="19" t="s">
        <v>3558</v>
      </c>
      <c r="B218" s="17" t="s">
        <v>3557</v>
      </c>
      <c r="C218" s="20">
        <v>3</v>
      </c>
      <c r="D218" s="18">
        <v>54</v>
      </c>
      <c r="E218" s="20" t="s">
        <v>1094</v>
      </c>
      <c r="F218" s="17" t="s">
        <v>272</v>
      </c>
      <c r="G218" s="19" t="s">
        <v>57</v>
      </c>
      <c r="H218" s="18">
        <v>12</v>
      </c>
      <c r="I218" s="17" t="s">
        <v>133</v>
      </c>
      <c r="J218" s="17" t="s">
        <v>833</v>
      </c>
      <c r="K218" s="17"/>
      <c r="L218" s="17"/>
      <c r="M218" s="16" t="str">
        <f>HYPERLINK("http://slimages.macys.com/is/image/MCY/19305425 ")</f>
        <v xml:space="preserve">http://slimages.macys.com/is/image/MCY/19305425 </v>
      </c>
      <c r="N218" s="30"/>
    </row>
    <row r="219" spans="1:14" ht="60" x14ac:dyDescent="0.25">
      <c r="A219" s="19" t="s">
        <v>4381</v>
      </c>
      <c r="B219" s="17" t="s">
        <v>4380</v>
      </c>
      <c r="C219" s="20">
        <v>4</v>
      </c>
      <c r="D219" s="18">
        <v>54</v>
      </c>
      <c r="E219" s="20" t="s">
        <v>1105</v>
      </c>
      <c r="F219" s="17" t="s">
        <v>562</v>
      </c>
      <c r="G219" s="19" t="s">
        <v>57</v>
      </c>
      <c r="H219" s="18">
        <v>12</v>
      </c>
      <c r="I219" s="17" t="s">
        <v>133</v>
      </c>
      <c r="J219" s="17" t="s">
        <v>833</v>
      </c>
      <c r="K219" s="17"/>
      <c r="L219" s="17"/>
      <c r="M219" s="16" t="str">
        <f>HYPERLINK("http://slimages.macys.com/is/image/MCY/19305370 ")</f>
        <v xml:space="preserve">http://slimages.macys.com/is/image/MCY/19305370 </v>
      </c>
      <c r="N219" s="30"/>
    </row>
    <row r="220" spans="1:14" ht="60" x14ac:dyDescent="0.25">
      <c r="A220" s="19" t="s">
        <v>2683</v>
      </c>
      <c r="B220" s="17" t="s">
        <v>2682</v>
      </c>
      <c r="C220" s="20">
        <v>7</v>
      </c>
      <c r="D220" s="18">
        <v>54</v>
      </c>
      <c r="E220" s="20" t="s">
        <v>1094</v>
      </c>
      <c r="F220" s="17" t="s">
        <v>272</v>
      </c>
      <c r="G220" s="19" t="s">
        <v>74</v>
      </c>
      <c r="H220" s="18">
        <v>12</v>
      </c>
      <c r="I220" s="17" t="s">
        <v>133</v>
      </c>
      <c r="J220" s="17" t="s">
        <v>833</v>
      </c>
      <c r="K220" s="17"/>
      <c r="L220" s="17"/>
      <c r="M220" s="16" t="str">
        <f>HYPERLINK("http://slimages.macys.com/is/image/MCY/19305425 ")</f>
        <v xml:space="preserve">http://slimages.macys.com/is/image/MCY/19305425 </v>
      </c>
      <c r="N220" s="30"/>
    </row>
    <row r="221" spans="1:14" ht="60" x14ac:dyDescent="0.25">
      <c r="A221" s="19" t="s">
        <v>4379</v>
      </c>
      <c r="B221" s="17" t="s">
        <v>4378</v>
      </c>
      <c r="C221" s="20">
        <v>1</v>
      </c>
      <c r="D221" s="18">
        <v>69</v>
      </c>
      <c r="E221" s="20">
        <v>2321805</v>
      </c>
      <c r="F221" s="17" t="s">
        <v>91</v>
      </c>
      <c r="G221" s="19" t="s">
        <v>17</v>
      </c>
      <c r="H221" s="18">
        <v>12</v>
      </c>
      <c r="I221" s="17" t="s">
        <v>80</v>
      </c>
      <c r="J221" s="17" t="s">
        <v>293</v>
      </c>
      <c r="K221" s="17"/>
      <c r="L221" s="17"/>
      <c r="M221" s="16" t="str">
        <f>HYPERLINK("http://slimages.macys.com/is/image/MCY/18749723 ")</f>
        <v xml:space="preserve">http://slimages.macys.com/is/image/MCY/18749723 </v>
      </c>
      <c r="N221" s="30"/>
    </row>
    <row r="222" spans="1:14" ht="60" x14ac:dyDescent="0.25">
      <c r="A222" s="19" t="s">
        <v>4377</v>
      </c>
      <c r="B222" s="17" t="s">
        <v>4376</v>
      </c>
      <c r="C222" s="20">
        <v>2</v>
      </c>
      <c r="D222" s="18">
        <v>69</v>
      </c>
      <c r="E222" s="20">
        <v>2321805</v>
      </c>
      <c r="F222" s="17" t="s">
        <v>70</v>
      </c>
      <c r="G222" s="19" t="s">
        <v>62</v>
      </c>
      <c r="H222" s="18">
        <v>12</v>
      </c>
      <c r="I222" s="17" t="s">
        <v>80</v>
      </c>
      <c r="J222" s="17" t="s">
        <v>293</v>
      </c>
      <c r="K222" s="17"/>
      <c r="L222" s="17"/>
      <c r="M222" s="16" t="str">
        <f>HYPERLINK("http://slimages.macys.com/is/image/MCY/18749723 ")</f>
        <v xml:space="preserve">http://slimages.macys.com/is/image/MCY/18749723 </v>
      </c>
      <c r="N222" s="30"/>
    </row>
    <row r="223" spans="1:14" ht="60" x14ac:dyDescent="0.25">
      <c r="A223" s="19" t="s">
        <v>4375</v>
      </c>
      <c r="B223" s="17" t="s">
        <v>4374</v>
      </c>
      <c r="C223" s="20">
        <v>1</v>
      </c>
      <c r="D223" s="18">
        <v>59.5</v>
      </c>
      <c r="E223" s="20" t="s">
        <v>4373</v>
      </c>
      <c r="F223" s="17" t="s">
        <v>35</v>
      </c>
      <c r="G223" s="19" t="s">
        <v>62</v>
      </c>
      <c r="H223" s="18">
        <v>11.986666666666668</v>
      </c>
      <c r="I223" s="17" t="s">
        <v>106</v>
      </c>
      <c r="J223" s="17" t="s">
        <v>105</v>
      </c>
      <c r="K223" s="17"/>
      <c r="L223" s="17"/>
      <c r="M223" s="16" t="str">
        <f>HYPERLINK("http://slimages.macys.com/is/image/MCY/19911104 ")</f>
        <v xml:space="preserve">http://slimages.macys.com/is/image/MCY/19911104 </v>
      </c>
      <c r="N223" s="30"/>
    </row>
    <row r="224" spans="1:14" ht="60" x14ac:dyDescent="0.25">
      <c r="A224" s="19" t="s">
        <v>4372</v>
      </c>
      <c r="B224" s="17" t="s">
        <v>4371</v>
      </c>
      <c r="C224" s="20">
        <v>1</v>
      </c>
      <c r="D224" s="18">
        <v>59.5</v>
      </c>
      <c r="E224" s="20" t="s">
        <v>4370</v>
      </c>
      <c r="F224" s="17" t="s">
        <v>23</v>
      </c>
      <c r="G224" s="19" t="s">
        <v>69</v>
      </c>
      <c r="H224" s="18">
        <v>11.986666666666668</v>
      </c>
      <c r="I224" s="17" t="s">
        <v>106</v>
      </c>
      <c r="J224" s="17" t="s">
        <v>105</v>
      </c>
      <c r="K224" s="17"/>
      <c r="L224" s="17"/>
      <c r="M224" s="16" t="str">
        <f>HYPERLINK("http://slimages.macys.com/is/image/MCY/19195562 ")</f>
        <v xml:space="preserve">http://slimages.macys.com/is/image/MCY/19195562 </v>
      </c>
      <c r="N224" s="30"/>
    </row>
    <row r="225" spans="1:14" ht="60" x14ac:dyDescent="0.25">
      <c r="A225" s="19" t="s">
        <v>4369</v>
      </c>
      <c r="B225" s="17" t="s">
        <v>4368</v>
      </c>
      <c r="C225" s="20">
        <v>1</v>
      </c>
      <c r="D225" s="18">
        <v>79</v>
      </c>
      <c r="E225" s="20">
        <v>2331929</v>
      </c>
      <c r="F225" s="17" t="s">
        <v>2284</v>
      </c>
      <c r="G225" s="19" t="s">
        <v>22</v>
      </c>
      <c r="H225" s="18">
        <v>11.6</v>
      </c>
      <c r="I225" s="17" t="s">
        <v>80</v>
      </c>
      <c r="J225" s="17" t="s">
        <v>293</v>
      </c>
      <c r="K225" s="17"/>
      <c r="L225" s="17"/>
      <c r="M225" s="16" t="str">
        <f>HYPERLINK("http://slimages.macys.com/is/image/MCY/19455545 ")</f>
        <v xml:space="preserve">http://slimages.macys.com/is/image/MCY/19455545 </v>
      </c>
      <c r="N225" s="30"/>
    </row>
    <row r="226" spans="1:14" ht="60" x14ac:dyDescent="0.25">
      <c r="A226" s="19" t="s">
        <v>4367</v>
      </c>
      <c r="B226" s="17" t="s">
        <v>4366</v>
      </c>
      <c r="C226" s="20">
        <v>1</v>
      </c>
      <c r="D226" s="18">
        <v>69.5</v>
      </c>
      <c r="E226" s="20">
        <v>30155716</v>
      </c>
      <c r="F226" s="17" t="s">
        <v>28</v>
      </c>
      <c r="G226" s="19" t="s">
        <v>658</v>
      </c>
      <c r="H226" s="18">
        <v>11.586666666666668</v>
      </c>
      <c r="I226" s="17" t="s">
        <v>481</v>
      </c>
      <c r="J226" s="17" t="s">
        <v>480</v>
      </c>
      <c r="K226" s="17"/>
      <c r="L226" s="17"/>
      <c r="M226" s="16" t="str">
        <f>HYPERLINK("http://slimages.macys.com/is/image/MCY/21169561 ")</f>
        <v xml:space="preserve">http://slimages.macys.com/is/image/MCY/21169561 </v>
      </c>
      <c r="N226" s="30"/>
    </row>
    <row r="227" spans="1:14" ht="60" x14ac:dyDescent="0.25">
      <c r="A227" s="19" t="s">
        <v>4365</v>
      </c>
      <c r="B227" s="17" t="s">
        <v>4364</v>
      </c>
      <c r="C227" s="20">
        <v>1</v>
      </c>
      <c r="D227" s="18">
        <v>69.5</v>
      </c>
      <c r="E227" s="20">
        <v>30159340</v>
      </c>
      <c r="F227" s="17" t="s">
        <v>1536</v>
      </c>
      <c r="G227" s="19" t="s">
        <v>62</v>
      </c>
      <c r="H227" s="18">
        <v>11.586666666666668</v>
      </c>
      <c r="I227" s="17" t="s">
        <v>481</v>
      </c>
      <c r="J227" s="17" t="s">
        <v>480</v>
      </c>
      <c r="K227" s="17"/>
      <c r="L227" s="17"/>
      <c r="M227" s="16" t="str">
        <f>HYPERLINK("http://slimages.macys.com/is/image/MCY/21168138 ")</f>
        <v xml:space="preserve">http://slimages.macys.com/is/image/MCY/21168138 </v>
      </c>
      <c r="N227" s="30"/>
    </row>
    <row r="228" spans="1:14" ht="60" x14ac:dyDescent="0.25">
      <c r="A228" s="19" t="s">
        <v>4363</v>
      </c>
      <c r="B228" s="17" t="s">
        <v>4362</v>
      </c>
      <c r="C228" s="20">
        <v>1</v>
      </c>
      <c r="D228" s="18">
        <v>45</v>
      </c>
      <c r="E228" s="20" t="s">
        <v>3535</v>
      </c>
      <c r="F228" s="17" t="s">
        <v>51</v>
      </c>
      <c r="G228" s="19" t="s">
        <v>17</v>
      </c>
      <c r="H228" s="18">
        <v>11.52</v>
      </c>
      <c r="I228" s="17" t="s">
        <v>16</v>
      </c>
      <c r="J228" s="17" t="s">
        <v>15</v>
      </c>
      <c r="K228" s="17"/>
      <c r="L228" s="17"/>
      <c r="M228" s="16" t="str">
        <f>HYPERLINK("http://slimages.macys.com/is/image/MCY/19043645 ")</f>
        <v xml:space="preserve">http://slimages.macys.com/is/image/MCY/19043645 </v>
      </c>
      <c r="N228" s="30"/>
    </row>
    <row r="229" spans="1:14" ht="60" x14ac:dyDescent="0.25">
      <c r="A229" s="19" t="s">
        <v>3537</v>
      </c>
      <c r="B229" s="17" t="s">
        <v>3536</v>
      </c>
      <c r="C229" s="20">
        <v>14</v>
      </c>
      <c r="D229" s="18">
        <v>45</v>
      </c>
      <c r="E229" s="20" t="s">
        <v>3535</v>
      </c>
      <c r="F229" s="17" t="s">
        <v>51</v>
      </c>
      <c r="G229" s="19" t="s">
        <v>22</v>
      </c>
      <c r="H229" s="18">
        <v>11.52</v>
      </c>
      <c r="I229" s="17" t="s">
        <v>16</v>
      </c>
      <c r="J229" s="17" t="s">
        <v>15</v>
      </c>
      <c r="K229" s="17"/>
      <c r="L229" s="17"/>
      <c r="M229" s="16" t="str">
        <f>HYPERLINK("http://slimages.macys.com/is/image/MCY/19043645 ")</f>
        <v xml:space="preserve">http://slimages.macys.com/is/image/MCY/19043645 </v>
      </c>
      <c r="N229" s="30"/>
    </row>
    <row r="230" spans="1:14" ht="60" x14ac:dyDescent="0.25">
      <c r="A230" s="19" t="s">
        <v>4361</v>
      </c>
      <c r="B230" s="17" t="s">
        <v>4360</v>
      </c>
      <c r="C230" s="20">
        <v>1</v>
      </c>
      <c r="D230" s="18">
        <v>69</v>
      </c>
      <c r="E230" s="20" t="s">
        <v>4359</v>
      </c>
      <c r="F230" s="17" t="s">
        <v>23</v>
      </c>
      <c r="G230" s="19"/>
      <c r="H230" s="18">
        <v>11.500000000000002</v>
      </c>
      <c r="I230" s="17" t="s">
        <v>129</v>
      </c>
      <c r="J230" s="17" t="s">
        <v>128</v>
      </c>
      <c r="K230" s="17" t="s">
        <v>637</v>
      </c>
      <c r="L230" s="17" t="s">
        <v>1724</v>
      </c>
      <c r="M230" s="16" t="str">
        <f>HYPERLINK("http://images.bloomingdales.com/is/image/BLM/11389861 ")</f>
        <v xml:space="preserve">http://images.bloomingdales.com/is/image/BLM/11389861 </v>
      </c>
      <c r="N230" s="30"/>
    </row>
    <row r="231" spans="1:14" ht="60" x14ac:dyDescent="0.25">
      <c r="A231" s="19" t="s">
        <v>4358</v>
      </c>
      <c r="B231" s="17" t="s">
        <v>4357</v>
      </c>
      <c r="C231" s="20">
        <v>1</v>
      </c>
      <c r="D231" s="18">
        <v>69</v>
      </c>
      <c r="E231" s="20">
        <v>8151602</v>
      </c>
      <c r="F231" s="17" t="s">
        <v>508</v>
      </c>
      <c r="G231" s="19" t="s">
        <v>62</v>
      </c>
      <c r="H231" s="18">
        <v>11.500000000000002</v>
      </c>
      <c r="I231" s="17" t="s">
        <v>129</v>
      </c>
      <c r="J231" s="17" t="s">
        <v>128</v>
      </c>
      <c r="K231" s="17"/>
      <c r="L231" s="17"/>
      <c r="M231" s="16" t="str">
        <f>HYPERLINK("http://slimages.macys.com/is/image/MCY/19706219 ")</f>
        <v xml:space="preserve">http://slimages.macys.com/is/image/MCY/19706219 </v>
      </c>
      <c r="N231" s="30"/>
    </row>
    <row r="232" spans="1:14" ht="60" x14ac:dyDescent="0.25">
      <c r="A232" s="19" t="s">
        <v>4356</v>
      </c>
      <c r="B232" s="17" t="s">
        <v>4355</v>
      </c>
      <c r="C232" s="20">
        <v>1</v>
      </c>
      <c r="D232" s="18">
        <v>60</v>
      </c>
      <c r="E232" s="20" t="s">
        <v>1863</v>
      </c>
      <c r="F232" s="17" t="s">
        <v>23</v>
      </c>
      <c r="G232" s="19" t="s">
        <v>4354</v>
      </c>
      <c r="H232" s="18">
        <v>11.333333333333334</v>
      </c>
      <c r="I232" s="17" t="s">
        <v>80</v>
      </c>
      <c r="J232" s="17" t="s">
        <v>187</v>
      </c>
      <c r="K232" s="17" t="s">
        <v>389</v>
      </c>
      <c r="L232" s="17" t="s">
        <v>4353</v>
      </c>
      <c r="M232" s="16" t="str">
        <f>HYPERLINK("http://slimages.macys.com/is/image/MCY/12934437 ")</f>
        <v xml:space="preserve">http://slimages.macys.com/is/image/MCY/12934437 </v>
      </c>
      <c r="N232" s="30"/>
    </row>
    <row r="233" spans="1:14" ht="60" x14ac:dyDescent="0.25">
      <c r="A233" s="19" t="s">
        <v>4352</v>
      </c>
      <c r="B233" s="17" t="s">
        <v>4351</v>
      </c>
      <c r="C233" s="20">
        <v>7</v>
      </c>
      <c r="D233" s="18">
        <v>59.5</v>
      </c>
      <c r="E233" s="20" t="s">
        <v>368</v>
      </c>
      <c r="F233" s="17" t="s">
        <v>51</v>
      </c>
      <c r="G233" s="19" t="s">
        <v>57</v>
      </c>
      <c r="H233" s="18">
        <v>11.206666666666667</v>
      </c>
      <c r="I233" s="17" t="s">
        <v>56</v>
      </c>
      <c r="J233" s="17" t="s">
        <v>55</v>
      </c>
      <c r="K233" s="17"/>
      <c r="L233" s="17"/>
      <c r="M233" s="16" t="str">
        <f>HYPERLINK("http://slimages.macys.com/is/image/MCY/19019239 ")</f>
        <v xml:space="preserve">http://slimages.macys.com/is/image/MCY/19019239 </v>
      </c>
      <c r="N233" s="30"/>
    </row>
    <row r="234" spans="1:14" ht="60" x14ac:dyDescent="0.25">
      <c r="A234" s="19" t="s">
        <v>4350</v>
      </c>
      <c r="B234" s="17" t="s">
        <v>4349</v>
      </c>
      <c r="C234" s="20">
        <v>1</v>
      </c>
      <c r="D234" s="18">
        <v>59.5</v>
      </c>
      <c r="E234" s="20" t="s">
        <v>4348</v>
      </c>
      <c r="F234" s="17" t="s">
        <v>23</v>
      </c>
      <c r="G234" s="19" t="s">
        <v>62</v>
      </c>
      <c r="H234" s="18">
        <v>11.206666666666667</v>
      </c>
      <c r="I234" s="17" t="s">
        <v>56</v>
      </c>
      <c r="J234" s="17" t="s">
        <v>55</v>
      </c>
      <c r="K234" s="17"/>
      <c r="L234" s="17"/>
      <c r="M234" s="16" t="str">
        <f>HYPERLINK("http://slimages.macys.com/is/image/MCY/19184973 ")</f>
        <v xml:space="preserve">http://slimages.macys.com/is/image/MCY/19184973 </v>
      </c>
      <c r="N234" s="30"/>
    </row>
    <row r="235" spans="1:14" ht="60" x14ac:dyDescent="0.25">
      <c r="A235" s="19" t="s">
        <v>2658</v>
      </c>
      <c r="B235" s="17" t="s">
        <v>2657</v>
      </c>
      <c r="C235" s="20">
        <v>1</v>
      </c>
      <c r="D235" s="18">
        <v>59.5</v>
      </c>
      <c r="E235" s="20" t="s">
        <v>374</v>
      </c>
      <c r="F235" s="17" t="s">
        <v>206</v>
      </c>
      <c r="G235" s="19" t="s">
        <v>197</v>
      </c>
      <c r="H235" s="18">
        <v>11.206666666666667</v>
      </c>
      <c r="I235" s="17" t="s">
        <v>56</v>
      </c>
      <c r="J235" s="17" t="s">
        <v>55</v>
      </c>
      <c r="K235" s="17"/>
      <c r="L235" s="17"/>
      <c r="M235" s="16" t="str">
        <f>HYPERLINK("http://slimages.macys.com/is/image/MCY/19367312 ")</f>
        <v xml:space="preserve">http://slimages.macys.com/is/image/MCY/19367312 </v>
      </c>
      <c r="N235" s="30"/>
    </row>
    <row r="236" spans="1:14" ht="60" x14ac:dyDescent="0.25">
      <c r="A236" s="19" t="s">
        <v>1854</v>
      </c>
      <c r="B236" s="17" t="s">
        <v>1853</v>
      </c>
      <c r="C236" s="20">
        <v>1</v>
      </c>
      <c r="D236" s="18">
        <v>59.5</v>
      </c>
      <c r="E236" s="20" t="s">
        <v>1086</v>
      </c>
      <c r="F236" s="17" t="s">
        <v>51</v>
      </c>
      <c r="G236" s="19" t="s">
        <v>74</v>
      </c>
      <c r="H236" s="18">
        <v>11.206666666666667</v>
      </c>
      <c r="I236" s="17" t="s">
        <v>56</v>
      </c>
      <c r="J236" s="17" t="s">
        <v>55</v>
      </c>
      <c r="K236" s="17"/>
      <c r="L236" s="17"/>
      <c r="M236" s="16" t="str">
        <f>HYPERLINK("http://slimages.macys.com/is/image/MCY/19182892 ")</f>
        <v xml:space="preserve">http://slimages.macys.com/is/image/MCY/19182892 </v>
      </c>
      <c r="N236" s="30"/>
    </row>
    <row r="237" spans="1:14" ht="60" x14ac:dyDescent="0.25">
      <c r="A237" s="19" t="s">
        <v>1088</v>
      </c>
      <c r="B237" s="17" t="s">
        <v>1087</v>
      </c>
      <c r="C237" s="20">
        <v>2</v>
      </c>
      <c r="D237" s="18">
        <v>59.5</v>
      </c>
      <c r="E237" s="20" t="s">
        <v>1086</v>
      </c>
      <c r="F237" s="17" t="s">
        <v>51</v>
      </c>
      <c r="G237" s="19" t="s">
        <v>57</v>
      </c>
      <c r="H237" s="18">
        <v>11.206666666666667</v>
      </c>
      <c r="I237" s="17" t="s">
        <v>56</v>
      </c>
      <c r="J237" s="17" t="s">
        <v>55</v>
      </c>
      <c r="K237" s="17"/>
      <c r="L237" s="17"/>
      <c r="M237" s="16" t="str">
        <f>HYPERLINK("http://slimages.macys.com/is/image/MCY/19182892 ")</f>
        <v xml:space="preserve">http://slimages.macys.com/is/image/MCY/19182892 </v>
      </c>
      <c r="N237" s="30"/>
    </row>
    <row r="238" spans="1:14" ht="60" x14ac:dyDescent="0.25">
      <c r="A238" s="19" t="s">
        <v>4347</v>
      </c>
      <c r="B238" s="17" t="s">
        <v>4346</v>
      </c>
      <c r="C238" s="20">
        <v>1</v>
      </c>
      <c r="D238" s="18">
        <v>59.5</v>
      </c>
      <c r="E238" s="20" t="s">
        <v>1086</v>
      </c>
      <c r="F238" s="17" t="s">
        <v>58</v>
      </c>
      <c r="G238" s="19" t="s">
        <v>69</v>
      </c>
      <c r="H238" s="18">
        <v>11.206666666666667</v>
      </c>
      <c r="I238" s="17" t="s">
        <v>56</v>
      </c>
      <c r="J238" s="17" t="s">
        <v>55</v>
      </c>
      <c r="K238" s="17"/>
      <c r="L238" s="17"/>
      <c r="M238" s="16" t="str">
        <f>HYPERLINK("http://slimages.macys.com/is/image/MCY/19182892 ")</f>
        <v xml:space="preserve">http://slimages.macys.com/is/image/MCY/19182892 </v>
      </c>
      <c r="N238" s="30"/>
    </row>
    <row r="239" spans="1:14" ht="60" x14ac:dyDescent="0.25">
      <c r="A239" s="19" t="s">
        <v>3512</v>
      </c>
      <c r="B239" s="17" t="s">
        <v>3511</v>
      </c>
      <c r="C239" s="20">
        <v>1</v>
      </c>
      <c r="D239" s="18">
        <v>59.5</v>
      </c>
      <c r="E239" s="20" t="s">
        <v>3510</v>
      </c>
      <c r="F239" s="17" t="s">
        <v>23</v>
      </c>
      <c r="G239" s="19" t="s">
        <v>351</v>
      </c>
      <c r="H239" s="18">
        <v>11.206666666666667</v>
      </c>
      <c r="I239" s="17" t="s">
        <v>1891</v>
      </c>
      <c r="J239" s="17" t="s">
        <v>67</v>
      </c>
      <c r="K239" s="17"/>
      <c r="L239" s="17"/>
      <c r="M239" s="16" t="str">
        <f>HYPERLINK("http://slimages.macys.com/is/image/MCY/18981715 ")</f>
        <v xml:space="preserve">http://slimages.macys.com/is/image/MCY/18981715 </v>
      </c>
      <c r="N239" s="30"/>
    </row>
    <row r="240" spans="1:14" ht="60" x14ac:dyDescent="0.25">
      <c r="A240" s="19" t="s">
        <v>2651</v>
      </c>
      <c r="B240" s="17" t="s">
        <v>2650</v>
      </c>
      <c r="C240" s="20">
        <v>1</v>
      </c>
      <c r="D240" s="18">
        <v>59.5</v>
      </c>
      <c r="E240" s="20" t="s">
        <v>1086</v>
      </c>
      <c r="F240" s="17" t="s">
        <v>51</v>
      </c>
      <c r="G240" s="19" t="s">
        <v>69</v>
      </c>
      <c r="H240" s="18">
        <v>11.206666666666667</v>
      </c>
      <c r="I240" s="17" t="s">
        <v>56</v>
      </c>
      <c r="J240" s="17" t="s">
        <v>55</v>
      </c>
      <c r="K240" s="17"/>
      <c r="L240" s="17"/>
      <c r="M240" s="16" t="str">
        <f>HYPERLINK("http://slimages.macys.com/is/image/MCY/19182892 ")</f>
        <v xml:space="preserve">http://slimages.macys.com/is/image/MCY/19182892 </v>
      </c>
      <c r="N240" s="30"/>
    </row>
    <row r="241" spans="1:14" ht="60" x14ac:dyDescent="0.25">
      <c r="A241" s="19" t="s">
        <v>4345</v>
      </c>
      <c r="B241" s="17" t="s">
        <v>4344</v>
      </c>
      <c r="C241" s="20">
        <v>1</v>
      </c>
      <c r="D241" s="18">
        <v>59.5</v>
      </c>
      <c r="E241" s="20" t="s">
        <v>3510</v>
      </c>
      <c r="F241" s="17" t="s">
        <v>23</v>
      </c>
      <c r="G241" s="19" t="s">
        <v>139</v>
      </c>
      <c r="H241" s="18">
        <v>11.206666666666667</v>
      </c>
      <c r="I241" s="17" t="s">
        <v>1891</v>
      </c>
      <c r="J241" s="17" t="s">
        <v>67</v>
      </c>
      <c r="K241" s="17"/>
      <c r="L241" s="17"/>
      <c r="M241" s="16" t="str">
        <f>HYPERLINK("http://slimages.macys.com/is/image/MCY/18981715 ")</f>
        <v xml:space="preserve">http://slimages.macys.com/is/image/MCY/18981715 </v>
      </c>
      <c r="N241" s="30"/>
    </row>
    <row r="242" spans="1:14" ht="60" x14ac:dyDescent="0.25">
      <c r="A242" s="19" t="s">
        <v>4343</v>
      </c>
      <c r="B242" s="17" t="s">
        <v>4342</v>
      </c>
      <c r="C242" s="20">
        <v>1</v>
      </c>
      <c r="D242" s="18">
        <v>59.5</v>
      </c>
      <c r="E242" s="20" t="s">
        <v>4341</v>
      </c>
      <c r="F242" s="17" t="s">
        <v>206</v>
      </c>
      <c r="G242" s="19" t="s">
        <v>271</v>
      </c>
      <c r="H242" s="18">
        <v>11.206666666666667</v>
      </c>
      <c r="I242" s="17" t="s">
        <v>1891</v>
      </c>
      <c r="J242" s="17" t="s">
        <v>2435</v>
      </c>
      <c r="K242" s="17"/>
      <c r="L242" s="17"/>
      <c r="M242" s="16" t="str">
        <f>HYPERLINK("http://slimages.macys.com/is/image/MCY/19507940 ")</f>
        <v xml:space="preserve">http://slimages.macys.com/is/image/MCY/19507940 </v>
      </c>
      <c r="N242" s="30"/>
    </row>
    <row r="243" spans="1:14" ht="72" x14ac:dyDescent="0.25">
      <c r="A243" s="19" t="s">
        <v>4340</v>
      </c>
      <c r="B243" s="17" t="s">
        <v>4339</v>
      </c>
      <c r="C243" s="20">
        <v>1</v>
      </c>
      <c r="D243" s="18">
        <v>48</v>
      </c>
      <c r="E243" s="20" t="s">
        <v>4325</v>
      </c>
      <c r="F243" s="17" t="s">
        <v>51</v>
      </c>
      <c r="G243" s="19" t="s">
        <v>62</v>
      </c>
      <c r="H243" s="18">
        <v>11.2</v>
      </c>
      <c r="I243" s="17" t="s">
        <v>133</v>
      </c>
      <c r="J243" s="17" t="s">
        <v>132</v>
      </c>
      <c r="K243" s="17" t="s">
        <v>771</v>
      </c>
      <c r="L243" s="17" t="s">
        <v>4324</v>
      </c>
      <c r="M243" s="16" t="str">
        <f>HYPERLINK("http://images.bloomingdales.com/is/image/BLM/10200045 ")</f>
        <v xml:space="preserve">http://images.bloomingdales.com/is/image/BLM/10200045 </v>
      </c>
      <c r="N243" s="30"/>
    </row>
    <row r="244" spans="1:14" ht="72" x14ac:dyDescent="0.25">
      <c r="A244" s="19" t="s">
        <v>4338</v>
      </c>
      <c r="B244" s="17" t="s">
        <v>4337</v>
      </c>
      <c r="C244" s="20">
        <v>1</v>
      </c>
      <c r="D244" s="18">
        <v>48</v>
      </c>
      <c r="E244" s="20" t="s">
        <v>4325</v>
      </c>
      <c r="F244" s="17" t="s">
        <v>51</v>
      </c>
      <c r="G244" s="19" t="s">
        <v>69</v>
      </c>
      <c r="H244" s="18">
        <v>11.2</v>
      </c>
      <c r="I244" s="17" t="s">
        <v>133</v>
      </c>
      <c r="J244" s="17" t="s">
        <v>132</v>
      </c>
      <c r="K244" s="17" t="s">
        <v>771</v>
      </c>
      <c r="L244" s="17" t="s">
        <v>4324</v>
      </c>
      <c r="M244" s="16" t="str">
        <f>HYPERLINK("http://images.bloomingdales.com/is/image/BLM/10200045 ")</f>
        <v xml:space="preserve">http://images.bloomingdales.com/is/image/BLM/10200045 </v>
      </c>
      <c r="N244" s="30"/>
    </row>
    <row r="245" spans="1:14" ht="72" x14ac:dyDescent="0.25">
      <c r="A245" s="19" t="s">
        <v>4336</v>
      </c>
      <c r="B245" s="17" t="s">
        <v>4335</v>
      </c>
      <c r="C245" s="20">
        <v>1</v>
      </c>
      <c r="D245" s="18">
        <v>48</v>
      </c>
      <c r="E245" s="20" t="s">
        <v>4325</v>
      </c>
      <c r="F245" s="17" t="s">
        <v>51</v>
      </c>
      <c r="G245" s="19" t="s">
        <v>57</v>
      </c>
      <c r="H245" s="18">
        <v>11.2</v>
      </c>
      <c r="I245" s="17" t="s">
        <v>133</v>
      </c>
      <c r="J245" s="17" t="s">
        <v>132</v>
      </c>
      <c r="K245" s="17" t="s">
        <v>771</v>
      </c>
      <c r="L245" s="17" t="s">
        <v>4324</v>
      </c>
      <c r="M245" s="16" t="str">
        <f>HYPERLINK("http://images.bloomingdales.com/is/image/BLM/10200045 ")</f>
        <v xml:space="preserve">http://images.bloomingdales.com/is/image/BLM/10200045 </v>
      </c>
      <c r="N245" s="30"/>
    </row>
    <row r="246" spans="1:14" ht="60" x14ac:dyDescent="0.25">
      <c r="A246" s="19" t="s">
        <v>4334</v>
      </c>
      <c r="B246" s="17" t="s">
        <v>4333</v>
      </c>
      <c r="C246" s="20">
        <v>8</v>
      </c>
      <c r="D246" s="18">
        <v>56</v>
      </c>
      <c r="E246" s="20" t="s">
        <v>1077</v>
      </c>
      <c r="F246" s="17" t="s">
        <v>23</v>
      </c>
      <c r="G246" s="19" t="s">
        <v>74</v>
      </c>
      <c r="H246" s="18">
        <v>11.2</v>
      </c>
      <c r="I246" s="17" t="s">
        <v>144</v>
      </c>
      <c r="J246" s="17" t="s">
        <v>496</v>
      </c>
      <c r="K246" s="17"/>
      <c r="L246" s="17"/>
      <c r="M246" s="16" t="str">
        <f>HYPERLINK("http://slimages.macys.com/is/image/MCY/18849428 ")</f>
        <v xml:space="preserve">http://slimages.macys.com/is/image/MCY/18849428 </v>
      </c>
      <c r="N246" s="30"/>
    </row>
    <row r="247" spans="1:14" ht="60" x14ac:dyDescent="0.25">
      <c r="A247" s="19" t="s">
        <v>4332</v>
      </c>
      <c r="B247" s="17" t="s">
        <v>4331</v>
      </c>
      <c r="C247" s="20">
        <v>1</v>
      </c>
      <c r="D247" s="18">
        <v>59.5</v>
      </c>
      <c r="E247" s="20" t="s">
        <v>4330</v>
      </c>
      <c r="F247" s="17" t="s">
        <v>51</v>
      </c>
      <c r="G247" s="19" t="s">
        <v>62</v>
      </c>
      <c r="H247" s="18">
        <v>11.2</v>
      </c>
      <c r="I247" s="17" t="s">
        <v>56</v>
      </c>
      <c r="J247" s="17" t="s">
        <v>55</v>
      </c>
      <c r="K247" s="17"/>
      <c r="L247" s="17"/>
      <c r="M247" s="16" t="str">
        <f>HYPERLINK("http://slimages.macys.com/is/image/MCY/20864502 ")</f>
        <v xml:space="preserve">http://slimages.macys.com/is/image/MCY/20864502 </v>
      </c>
      <c r="N247" s="30"/>
    </row>
    <row r="248" spans="1:14" ht="60" x14ac:dyDescent="0.25">
      <c r="A248" s="19" t="s">
        <v>4329</v>
      </c>
      <c r="B248" s="17" t="s">
        <v>4328</v>
      </c>
      <c r="C248" s="20">
        <v>1</v>
      </c>
      <c r="D248" s="18">
        <v>59.5</v>
      </c>
      <c r="E248" s="20" t="s">
        <v>3484</v>
      </c>
      <c r="F248" s="17" t="s">
        <v>206</v>
      </c>
      <c r="G248" s="19"/>
      <c r="H248" s="18">
        <v>11.2</v>
      </c>
      <c r="I248" s="17" t="s">
        <v>1891</v>
      </c>
      <c r="J248" s="17" t="s">
        <v>67</v>
      </c>
      <c r="K248" s="17"/>
      <c r="L248" s="17"/>
      <c r="M248" s="16" t="str">
        <f>HYPERLINK("http://slimages.macys.com/is/image/MCY/18982298 ")</f>
        <v xml:space="preserve">http://slimages.macys.com/is/image/MCY/18982298 </v>
      </c>
      <c r="N248" s="30"/>
    </row>
    <row r="249" spans="1:14" ht="72" x14ac:dyDescent="0.25">
      <c r="A249" s="19" t="s">
        <v>4327</v>
      </c>
      <c r="B249" s="17" t="s">
        <v>4326</v>
      </c>
      <c r="C249" s="20">
        <v>1</v>
      </c>
      <c r="D249" s="18">
        <v>48</v>
      </c>
      <c r="E249" s="20" t="s">
        <v>4325</v>
      </c>
      <c r="F249" s="17" t="s">
        <v>51</v>
      </c>
      <c r="G249" s="19" t="s">
        <v>74</v>
      </c>
      <c r="H249" s="18">
        <v>11.2</v>
      </c>
      <c r="I249" s="17" t="s">
        <v>133</v>
      </c>
      <c r="J249" s="17" t="s">
        <v>132</v>
      </c>
      <c r="K249" s="17" t="s">
        <v>771</v>
      </c>
      <c r="L249" s="17" t="s">
        <v>4324</v>
      </c>
      <c r="M249" s="16" t="str">
        <f>HYPERLINK("http://images.bloomingdales.com/is/image/BLM/10200045 ")</f>
        <v xml:space="preserve">http://images.bloomingdales.com/is/image/BLM/10200045 </v>
      </c>
      <c r="N249" s="30"/>
    </row>
    <row r="250" spans="1:14" ht="60" x14ac:dyDescent="0.25">
      <c r="A250" s="19" t="s">
        <v>4323</v>
      </c>
      <c r="B250" s="17" t="s">
        <v>4322</v>
      </c>
      <c r="C250" s="20">
        <v>1</v>
      </c>
      <c r="D250" s="18">
        <v>59.5</v>
      </c>
      <c r="E250" s="20" t="s">
        <v>4321</v>
      </c>
      <c r="F250" s="17" t="s">
        <v>216</v>
      </c>
      <c r="G250" s="19" t="s">
        <v>69</v>
      </c>
      <c r="H250" s="18">
        <v>11.2</v>
      </c>
      <c r="I250" s="17" t="s">
        <v>56</v>
      </c>
      <c r="J250" s="17" t="s">
        <v>55</v>
      </c>
      <c r="K250" s="17"/>
      <c r="L250" s="17"/>
      <c r="M250" s="16" t="str">
        <f>HYPERLINK("http://slimages.macys.com/is/image/MCY/18954364 ")</f>
        <v xml:space="preserve">http://slimages.macys.com/is/image/MCY/18954364 </v>
      </c>
      <c r="N250" s="30"/>
    </row>
    <row r="251" spans="1:14" ht="60" x14ac:dyDescent="0.25">
      <c r="A251" s="19" t="s">
        <v>4320</v>
      </c>
      <c r="B251" s="17" t="s">
        <v>4319</v>
      </c>
      <c r="C251" s="20">
        <v>1</v>
      </c>
      <c r="D251" s="18">
        <v>59.5</v>
      </c>
      <c r="E251" s="20" t="s">
        <v>4318</v>
      </c>
      <c r="F251" s="17" t="s">
        <v>51</v>
      </c>
      <c r="G251" s="19" t="s">
        <v>74</v>
      </c>
      <c r="H251" s="18">
        <v>11.180000000000001</v>
      </c>
      <c r="I251" s="17" t="s">
        <v>56</v>
      </c>
      <c r="J251" s="17" t="s">
        <v>55</v>
      </c>
      <c r="K251" s="17"/>
      <c r="L251" s="17"/>
      <c r="M251" s="16" t="str">
        <f>HYPERLINK("http://slimages.macys.com/is/image/MCY/18941713 ")</f>
        <v xml:space="preserve">http://slimages.macys.com/is/image/MCY/18941713 </v>
      </c>
      <c r="N251" s="30"/>
    </row>
    <row r="252" spans="1:14" ht="60" x14ac:dyDescent="0.25">
      <c r="A252" s="19" t="s">
        <v>4317</v>
      </c>
      <c r="B252" s="17" t="s">
        <v>4316</v>
      </c>
      <c r="C252" s="20">
        <v>1</v>
      </c>
      <c r="D252" s="18">
        <v>59.5</v>
      </c>
      <c r="E252" s="20" t="s">
        <v>355</v>
      </c>
      <c r="F252" s="17" t="s">
        <v>35</v>
      </c>
      <c r="G252" s="19" t="s">
        <v>74</v>
      </c>
      <c r="H252" s="18">
        <v>11.113333333333333</v>
      </c>
      <c r="I252" s="17" t="s">
        <v>68</v>
      </c>
      <c r="J252" s="17" t="s">
        <v>67</v>
      </c>
      <c r="K252" s="17"/>
      <c r="L252" s="17"/>
      <c r="M252" s="16" t="str">
        <f>HYPERLINK("http://slimages.macys.com/is/image/MCY/16686525 ")</f>
        <v xml:space="preserve">http://slimages.macys.com/is/image/MCY/16686525 </v>
      </c>
      <c r="N252" s="30"/>
    </row>
    <row r="253" spans="1:14" ht="60" x14ac:dyDescent="0.25">
      <c r="A253" s="19" t="s">
        <v>4315</v>
      </c>
      <c r="B253" s="17" t="s">
        <v>4314</v>
      </c>
      <c r="C253" s="20">
        <v>1</v>
      </c>
      <c r="D253" s="18">
        <v>59.5</v>
      </c>
      <c r="E253" s="20">
        <v>10829300</v>
      </c>
      <c r="F253" s="17" t="s">
        <v>578</v>
      </c>
      <c r="G253" s="19" t="s">
        <v>74</v>
      </c>
      <c r="H253" s="18">
        <v>11.106666666666667</v>
      </c>
      <c r="I253" s="17" t="s">
        <v>481</v>
      </c>
      <c r="J253" s="17" t="s">
        <v>641</v>
      </c>
      <c r="K253" s="17"/>
      <c r="L253" s="17"/>
      <c r="M253" s="16" t="str">
        <f>HYPERLINK("http://slimages.macys.com/is/image/MCY/21169188 ")</f>
        <v xml:space="preserve">http://slimages.macys.com/is/image/MCY/21169188 </v>
      </c>
      <c r="N253" s="30"/>
    </row>
    <row r="254" spans="1:14" ht="60" x14ac:dyDescent="0.25">
      <c r="A254" s="19" t="s">
        <v>4313</v>
      </c>
      <c r="B254" s="17" t="s">
        <v>4312</v>
      </c>
      <c r="C254" s="20">
        <v>1</v>
      </c>
      <c r="D254" s="18">
        <v>59</v>
      </c>
      <c r="E254" s="20" t="s">
        <v>2638</v>
      </c>
      <c r="F254" s="17" t="s">
        <v>390</v>
      </c>
      <c r="G254" s="19" t="s">
        <v>27</v>
      </c>
      <c r="H254" s="18">
        <v>11.106666666666667</v>
      </c>
      <c r="I254" s="17" t="s">
        <v>56</v>
      </c>
      <c r="J254" s="17" t="s">
        <v>55</v>
      </c>
      <c r="K254" s="17" t="s">
        <v>389</v>
      </c>
      <c r="L254" s="17" t="s">
        <v>1129</v>
      </c>
      <c r="M254" s="16" t="str">
        <f>HYPERLINK("http://slimages.macys.com/is/image/MCY/14443374 ")</f>
        <v xml:space="preserve">http://slimages.macys.com/is/image/MCY/14443374 </v>
      </c>
      <c r="N254" s="30"/>
    </row>
    <row r="255" spans="1:14" ht="60" x14ac:dyDescent="0.25">
      <c r="A255" s="19" t="s">
        <v>4311</v>
      </c>
      <c r="B255" s="17" t="s">
        <v>4310</v>
      </c>
      <c r="C255" s="20">
        <v>1</v>
      </c>
      <c r="D255" s="18">
        <v>49</v>
      </c>
      <c r="E255" s="20" t="s">
        <v>1843</v>
      </c>
      <c r="F255" s="17" t="s">
        <v>140</v>
      </c>
      <c r="G255" s="19" t="s">
        <v>1140</v>
      </c>
      <c r="H255" s="18">
        <v>10.813333333333334</v>
      </c>
      <c r="I255" s="17" t="s">
        <v>49</v>
      </c>
      <c r="J255" s="17" t="s">
        <v>48</v>
      </c>
      <c r="K255" s="17"/>
      <c r="L255" s="17"/>
      <c r="M255" s="16" t="str">
        <f>HYPERLINK("http://slimages.macys.com/is/image/MCY/19191520 ")</f>
        <v xml:space="preserve">http://slimages.macys.com/is/image/MCY/19191520 </v>
      </c>
      <c r="N255" s="30"/>
    </row>
    <row r="256" spans="1:14" ht="60" x14ac:dyDescent="0.25">
      <c r="A256" s="19" t="s">
        <v>3451</v>
      </c>
      <c r="B256" s="17" t="s">
        <v>3450</v>
      </c>
      <c r="C256" s="20">
        <v>1</v>
      </c>
      <c r="D256" s="18">
        <v>49</v>
      </c>
      <c r="E256" s="20" t="s">
        <v>52</v>
      </c>
      <c r="F256" s="17" t="s">
        <v>345</v>
      </c>
      <c r="G256" s="19" t="s">
        <v>22</v>
      </c>
      <c r="H256" s="18">
        <v>10.813333333333334</v>
      </c>
      <c r="I256" s="17" t="s">
        <v>49</v>
      </c>
      <c r="J256" s="17" t="s">
        <v>48</v>
      </c>
      <c r="K256" s="17"/>
      <c r="L256" s="17"/>
      <c r="M256" s="16" t="str">
        <f>HYPERLINK("http://slimages.macys.com/is/image/MCY/19193563 ")</f>
        <v xml:space="preserve">http://slimages.macys.com/is/image/MCY/19193563 </v>
      </c>
      <c r="N256" s="30"/>
    </row>
    <row r="257" spans="1:14" ht="60" x14ac:dyDescent="0.25">
      <c r="A257" s="19" t="s">
        <v>4309</v>
      </c>
      <c r="B257" s="17" t="s">
        <v>4308</v>
      </c>
      <c r="C257" s="20">
        <v>1</v>
      </c>
      <c r="D257" s="18">
        <v>49</v>
      </c>
      <c r="E257" s="20" t="s">
        <v>3454</v>
      </c>
      <c r="F257" s="17" t="s">
        <v>85</v>
      </c>
      <c r="G257" s="19" t="s">
        <v>22</v>
      </c>
      <c r="H257" s="18">
        <v>10.813333333333334</v>
      </c>
      <c r="I257" s="17" t="s">
        <v>49</v>
      </c>
      <c r="J257" s="17" t="s">
        <v>48</v>
      </c>
      <c r="K257" s="17"/>
      <c r="L257" s="17"/>
      <c r="M257" s="16" t="str">
        <f>HYPERLINK("http://slimages.macys.com/is/image/MCY/18255044 ")</f>
        <v xml:space="preserve">http://slimages.macys.com/is/image/MCY/18255044 </v>
      </c>
      <c r="N257" s="30"/>
    </row>
    <row r="258" spans="1:14" ht="60" x14ac:dyDescent="0.25">
      <c r="A258" s="19" t="s">
        <v>4307</v>
      </c>
      <c r="B258" s="17" t="s">
        <v>4306</v>
      </c>
      <c r="C258" s="20">
        <v>1</v>
      </c>
      <c r="D258" s="18">
        <v>49</v>
      </c>
      <c r="E258" s="20" t="s">
        <v>4305</v>
      </c>
      <c r="F258" s="17" t="s">
        <v>23</v>
      </c>
      <c r="G258" s="19" t="s">
        <v>17</v>
      </c>
      <c r="H258" s="18">
        <v>10.813333333333334</v>
      </c>
      <c r="I258" s="17" t="s">
        <v>49</v>
      </c>
      <c r="J258" s="17" t="s">
        <v>48</v>
      </c>
      <c r="K258" s="17"/>
      <c r="L258" s="17"/>
      <c r="M258" s="16" t="str">
        <f>HYPERLINK("http://slimages.macys.com/is/image/MCY/19634758 ")</f>
        <v xml:space="preserve">http://slimages.macys.com/is/image/MCY/19634758 </v>
      </c>
      <c r="N258" s="30"/>
    </row>
    <row r="259" spans="1:14" ht="60" x14ac:dyDescent="0.25">
      <c r="A259" s="19" t="s">
        <v>4304</v>
      </c>
      <c r="B259" s="17" t="s">
        <v>4303</v>
      </c>
      <c r="C259" s="20">
        <v>8</v>
      </c>
      <c r="D259" s="18">
        <v>38</v>
      </c>
      <c r="E259" s="20" t="s">
        <v>2607</v>
      </c>
      <c r="F259" s="17" t="s">
        <v>28</v>
      </c>
      <c r="G259" s="19" t="s">
        <v>197</v>
      </c>
      <c r="H259" s="18">
        <v>10.64</v>
      </c>
      <c r="I259" s="17" t="s">
        <v>80</v>
      </c>
      <c r="J259" s="17" t="s">
        <v>79</v>
      </c>
      <c r="K259" s="17"/>
      <c r="L259" s="17"/>
      <c r="M259" s="16" t="str">
        <f>HYPERLINK("http://slimages.macys.com/is/image/MCY/18568110 ")</f>
        <v xml:space="preserve">http://slimages.macys.com/is/image/MCY/18568110 </v>
      </c>
      <c r="N259" s="30"/>
    </row>
    <row r="260" spans="1:14" ht="60" x14ac:dyDescent="0.25">
      <c r="A260" s="19" t="s">
        <v>4302</v>
      </c>
      <c r="B260" s="17" t="s">
        <v>4301</v>
      </c>
      <c r="C260" s="20">
        <v>1</v>
      </c>
      <c r="D260" s="18">
        <v>45</v>
      </c>
      <c r="E260" s="20" t="s">
        <v>4300</v>
      </c>
      <c r="F260" s="17" t="s">
        <v>51</v>
      </c>
      <c r="G260" s="19" t="s">
        <v>3090</v>
      </c>
      <c r="H260" s="18">
        <v>10.333333333333334</v>
      </c>
      <c r="I260" s="17" t="s">
        <v>80</v>
      </c>
      <c r="J260" s="17" t="s">
        <v>187</v>
      </c>
      <c r="K260" s="17"/>
      <c r="L260" s="17"/>
      <c r="M260" s="16" t="str">
        <f>HYPERLINK("http://slimages.macys.com/is/image/MCY/19421222 ")</f>
        <v xml:space="preserve">http://slimages.macys.com/is/image/MCY/19421222 </v>
      </c>
      <c r="N260" s="30"/>
    </row>
    <row r="261" spans="1:14" ht="60" x14ac:dyDescent="0.25">
      <c r="A261" s="19" t="s">
        <v>4299</v>
      </c>
      <c r="B261" s="17" t="s">
        <v>4298</v>
      </c>
      <c r="C261" s="20">
        <v>1</v>
      </c>
      <c r="D261" s="18">
        <v>59.5</v>
      </c>
      <c r="E261" s="20" t="s">
        <v>4297</v>
      </c>
      <c r="F261" s="17" t="s">
        <v>91</v>
      </c>
      <c r="G261" s="19" t="s">
        <v>271</v>
      </c>
      <c r="H261" s="18">
        <v>10.313333333333333</v>
      </c>
      <c r="I261" s="17" t="s">
        <v>1891</v>
      </c>
      <c r="J261" s="17" t="s">
        <v>2435</v>
      </c>
      <c r="K261" s="17"/>
      <c r="L261" s="17"/>
      <c r="M261" s="16" t="str">
        <f>HYPERLINK("http://slimages.macys.com/is/image/MCY/17804444 ")</f>
        <v xml:space="preserve">http://slimages.macys.com/is/image/MCY/17804444 </v>
      </c>
      <c r="N261" s="30"/>
    </row>
    <row r="262" spans="1:14" ht="60" x14ac:dyDescent="0.25">
      <c r="A262" s="19" t="s">
        <v>4296</v>
      </c>
      <c r="B262" s="17" t="s">
        <v>4295</v>
      </c>
      <c r="C262" s="20">
        <v>1</v>
      </c>
      <c r="D262" s="18">
        <v>49</v>
      </c>
      <c r="E262" s="20">
        <v>10764944</v>
      </c>
      <c r="F262" s="17" t="s">
        <v>63</v>
      </c>
      <c r="G262" s="19" t="s">
        <v>74</v>
      </c>
      <c r="H262" s="18">
        <v>10.126666666666667</v>
      </c>
      <c r="I262" s="17" t="s">
        <v>144</v>
      </c>
      <c r="J262" s="17" t="s">
        <v>114</v>
      </c>
      <c r="K262" s="17" t="s">
        <v>389</v>
      </c>
      <c r="L262" s="17" t="s">
        <v>662</v>
      </c>
      <c r="M262" s="16" t="str">
        <f>HYPERLINK("http://slimages.macys.com/is/image/MCY/16551953 ")</f>
        <v xml:space="preserve">http://slimages.macys.com/is/image/MCY/16551953 </v>
      </c>
      <c r="N262" s="30"/>
    </row>
    <row r="263" spans="1:14" ht="60" x14ac:dyDescent="0.25">
      <c r="A263" s="19" t="s">
        <v>4294</v>
      </c>
      <c r="B263" s="17" t="s">
        <v>4293</v>
      </c>
      <c r="C263" s="20">
        <v>1</v>
      </c>
      <c r="D263" s="18">
        <v>69</v>
      </c>
      <c r="E263" s="20">
        <v>2351806</v>
      </c>
      <c r="F263" s="17" t="s">
        <v>91</v>
      </c>
      <c r="G263" s="19" t="s">
        <v>101</v>
      </c>
      <c r="H263" s="18">
        <v>10.120000000000001</v>
      </c>
      <c r="I263" s="17" t="s">
        <v>80</v>
      </c>
      <c r="J263" s="17" t="s">
        <v>293</v>
      </c>
      <c r="K263" s="17"/>
      <c r="L263" s="17"/>
      <c r="M263" s="16" t="str">
        <f>HYPERLINK("http://slimages.macys.com/is/image/MCY/19737667 ")</f>
        <v xml:space="preserve">http://slimages.macys.com/is/image/MCY/19737667 </v>
      </c>
      <c r="N263" s="30"/>
    </row>
    <row r="264" spans="1:14" ht="60" x14ac:dyDescent="0.25">
      <c r="A264" s="19" t="s">
        <v>4292</v>
      </c>
      <c r="B264" s="17" t="s">
        <v>4291</v>
      </c>
      <c r="C264" s="20">
        <v>1</v>
      </c>
      <c r="D264" s="18">
        <v>59</v>
      </c>
      <c r="E264" s="20">
        <v>2331020</v>
      </c>
      <c r="F264" s="17" t="s">
        <v>23</v>
      </c>
      <c r="G264" s="19" t="s">
        <v>22</v>
      </c>
      <c r="H264" s="18">
        <v>10</v>
      </c>
      <c r="I264" s="17" t="s">
        <v>80</v>
      </c>
      <c r="J264" s="17" t="s">
        <v>293</v>
      </c>
      <c r="K264" s="17"/>
      <c r="L264" s="17"/>
      <c r="M264" s="16" t="str">
        <f>HYPERLINK("http://slimages.macys.com/is/image/MCY/19225981 ")</f>
        <v xml:space="preserve">http://slimages.macys.com/is/image/MCY/19225981 </v>
      </c>
      <c r="N264" s="30"/>
    </row>
    <row r="265" spans="1:14" ht="60" x14ac:dyDescent="0.25">
      <c r="A265" s="19" t="s">
        <v>4290</v>
      </c>
      <c r="B265" s="17" t="s">
        <v>4289</v>
      </c>
      <c r="C265" s="20">
        <v>1</v>
      </c>
      <c r="D265" s="18">
        <v>54.5</v>
      </c>
      <c r="E265" s="20" t="s">
        <v>1827</v>
      </c>
      <c r="F265" s="17" t="s">
        <v>339</v>
      </c>
      <c r="G265" s="19" t="s">
        <v>271</v>
      </c>
      <c r="H265" s="18">
        <v>9.9933333333333341</v>
      </c>
      <c r="I265" s="17" t="s">
        <v>267</v>
      </c>
      <c r="J265" s="17" t="s">
        <v>32</v>
      </c>
      <c r="K265" s="17"/>
      <c r="L265" s="17"/>
      <c r="M265" s="16" t="str">
        <f>HYPERLINK("http://slimages.macys.com/is/image/MCY/19124153 ")</f>
        <v xml:space="preserve">http://slimages.macys.com/is/image/MCY/19124153 </v>
      </c>
      <c r="N265" s="30"/>
    </row>
    <row r="266" spans="1:14" ht="60" x14ac:dyDescent="0.25">
      <c r="A266" s="19" t="s">
        <v>4288</v>
      </c>
      <c r="B266" s="17" t="s">
        <v>4287</v>
      </c>
      <c r="C266" s="20">
        <v>1</v>
      </c>
      <c r="D266" s="18">
        <v>54.5</v>
      </c>
      <c r="E266" s="20" t="s">
        <v>1827</v>
      </c>
      <c r="F266" s="17" t="s">
        <v>558</v>
      </c>
      <c r="G266" s="19" t="s">
        <v>139</v>
      </c>
      <c r="H266" s="18">
        <v>9.9933333333333341</v>
      </c>
      <c r="I266" s="17" t="s">
        <v>267</v>
      </c>
      <c r="J266" s="17" t="s">
        <v>32</v>
      </c>
      <c r="K266" s="17"/>
      <c r="L266" s="17"/>
      <c r="M266" s="16" t="str">
        <f>HYPERLINK("http://slimages.macys.com/is/image/MCY/19124153 ")</f>
        <v xml:space="preserve">http://slimages.macys.com/is/image/MCY/19124153 </v>
      </c>
      <c r="N266" s="30"/>
    </row>
    <row r="267" spans="1:14" ht="60" x14ac:dyDescent="0.25">
      <c r="A267" s="19" t="s">
        <v>4286</v>
      </c>
      <c r="B267" s="17" t="s">
        <v>4285</v>
      </c>
      <c r="C267" s="20">
        <v>1</v>
      </c>
      <c r="D267" s="18">
        <v>59.5</v>
      </c>
      <c r="E267" s="20">
        <v>30165355</v>
      </c>
      <c r="F267" s="17" t="s">
        <v>28</v>
      </c>
      <c r="G267" s="19" t="s">
        <v>69</v>
      </c>
      <c r="H267" s="18">
        <v>9.92</v>
      </c>
      <c r="I267" s="17" t="s">
        <v>481</v>
      </c>
      <c r="J267" s="17" t="s">
        <v>480</v>
      </c>
      <c r="K267" s="17"/>
      <c r="L267" s="17"/>
      <c r="M267" s="16" t="str">
        <f>HYPERLINK("http://slimages.macys.com/is/image/MCY/21169553 ")</f>
        <v xml:space="preserve">http://slimages.macys.com/is/image/MCY/21169553 </v>
      </c>
      <c r="N267" s="30"/>
    </row>
    <row r="268" spans="1:14" ht="60" x14ac:dyDescent="0.25">
      <c r="A268" s="19" t="s">
        <v>4284</v>
      </c>
      <c r="B268" s="17" t="s">
        <v>4283</v>
      </c>
      <c r="C268" s="20">
        <v>1</v>
      </c>
      <c r="D268" s="18">
        <v>59.5</v>
      </c>
      <c r="E268" s="20">
        <v>30157860</v>
      </c>
      <c r="F268" s="17" t="s">
        <v>1323</v>
      </c>
      <c r="G268" s="19" t="s">
        <v>62</v>
      </c>
      <c r="H268" s="18">
        <v>9.92</v>
      </c>
      <c r="I268" s="17" t="s">
        <v>481</v>
      </c>
      <c r="J268" s="17" t="s">
        <v>480</v>
      </c>
      <c r="K268" s="17"/>
      <c r="L268" s="17"/>
      <c r="M268" s="16" t="str">
        <f>HYPERLINK("http://slimages.macys.com/is/image/MCY/21169494 ")</f>
        <v xml:space="preserve">http://slimages.macys.com/is/image/MCY/21169494 </v>
      </c>
      <c r="N268" s="30"/>
    </row>
    <row r="269" spans="1:14" ht="60" x14ac:dyDescent="0.25">
      <c r="A269" s="19" t="s">
        <v>1062</v>
      </c>
      <c r="B269" s="17" t="s">
        <v>1061</v>
      </c>
      <c r="C269" s="20">
        <v>1</v>
      </c>
      <c r="D269" s="18">
        <v>49</v>
      </c>
      <c r="E269" s="20">
        <v>10804586</v>
      </c>
      <c r="F269" s="17" t="s">
        <v>282</v>
      </c>
      <c r="G269" s="19" t="s">
        <v>271</v>
      </c>
      <c r="H269" s="18">
        <v>9.8000000000000007</v>
      </c>
      <c r="I269" s="17" t="s">
        <v>358</v>
      </c>
      <c r="J269" s="17" t="s">
        <v>554</v>
      </c>
      <c r="K269" s="17"/>
      <c r="L269" s="17"/>
      <c r="M269" s="16" t="str">
        <f>HYPERLINK("http://slimages.macys.com/is/image/MCY/18874177 ")</f>
        <v xml:space="preserve">http://slimages.macys.com/is/image/MCY/18874177 </v>
      </c>
      <c r="N269" s="30"/>
    </row>
    <row r="270" spans="1:14" ht="60" x14ac:dyDescent="0.25">
      <c r="A270" s="19" t="s">
        <v>4282</v>
      </c>
      <c r="B270" s="17" t="s">
        <v>4281</v>
      </c>
      <c r="C270" s="20">
        <v>1</v>
      </c>
      <c r="D270" s="18">
        <v>55.5</v>
      </c>
      <c r="E270" s="20" t="s">
        <v>4280</v>
      </c>
      <c r="F270" s="17" t="s">
        <v>206</v>
      </c>
      <c r="G270" s="19" t="s">
        <v>139</v>
      </c>
      <c r="H270" s="18">
        <v>9.620000000000001</v>
      </c>
      <c r="I270" s="17" t="s">
        <v>1891</v>
      </c>
      <c r="J270" s="17" t="s">
        <v>2435</v>
      </c>
      <c r="K270" s="17"/>
      <c r="L270" s="17"/>
      <c r="M270" s="16" t="str">
        <f>HYPERLINK("http://slimages.macys.com/is/image/MCY/19439150 ")</f>
        <v xml:space="preserve">http://slimages.macys.com/is/image/MCY/19439150 </v>
      </c>
      <c r="N270" s="30"/>
    </row>
    <row r="271" spans="1:14" ht="60" x14ac:dyDescent="0.25">
      <c r="A271" s="19" t="s">
        <v>4279</v>
      </c>
      <c r="B271" s="17" t="s">
        <v>4278</v>
      </c>
      <c r="C271" s="20">
        <v>1</v>
      </c>
      <c r="D271" s="18">
        <v>59</v>
      </c>
      <c r="E271" s="20">
        <v>2331040</v>
      </c>
      <c r="F271" s="17" t="s">
        <v>91</v>
      </c>
      <c r="G271" s="19" t="s">
        <v>22</v>
      </c>
      <c r="H271" s="18">
        <v>9.3333333333333339</v>
      </c>
      <c r="I271" s="17" t="s">
        <v>80</v>
      </c>
      <c r="J271" s="17" t="s">
        <v>293</v>
      </c>
      <c r="K271" s="17"/>
      <c r="L271" s="17"/>
      <c r="M271" s="16" t="str">
        <f>HYPERLINK("http://slimages.macys.com/is/image/MCY/19588088 ")</f>
        <v xml:space="preserve">http://slimages.macys.com/is/image/MCY/19588088 </v>
      </c>
      <c r="N271" s="30"/>
    </row>
    <row r="272" spans="1:14" ht="60" x14ac:dyDescent="0.25">
      <c r="A272" s="19" t="s">
        <v>4277</v>
      </c>
      <c r="B272" s="17" t="s">
        <v>4276</v>
      </c>
      <c r="C272" s="20">
        <v>1</v>
      </c>
      <c r="D272" s="18">
        <v>59</v>
      </c>
      <c r="E272" s="20">
        <v>2331624</v>
      </c>
      <c r="F272" s="17" t="s">
        <v>63</v>
      </c>
      <c r="G272" s="19" t="s">
        <v>50</v>
      </c>
      <c r="H272" s="18">
        <v>9.3333333333333339</v>
      </c>
      <c r="I272" s="17" t="s">
        <v>80</v>
      </c>
      <c r="J272" s="17" t="s">
        <v>293</v>
      </c>
      <c r="K272" s="17"/>
      <c r="L272" s="17"/>
      <c r="M272" s="16" t="str">
        <f>HYPERLINK("http://slimages.macys.com/is/image/MCY/19226160 ")</f>
        <v xml:space="preserve">http://slimages.macys.com/is/image/MCY/19226160 </v>
      </c>
      <c r="N272" s="30"/>
    </row>
    <row r="273" spans="1:14" ht="60" x14ac:dyDescent="0.25">
      <c r="A273" s="19" t="s">
        <v>1049</v>
      </c>
      <c r="B273" s="17" t="s">
        <v>1048</v>
      </c>
      <c r="C273" s="20">
        <v>1</v>
      </c>
      <c r="D273" s="18">
        <v>49.5</v>
      </c>
      <c r="E273" s="20" t="s">
        <v>286</v>
      </c>
      <c r="F273" s="17" t="s">
        <v>51</v>
      </c>
      <c r="G273" s="19" t="s">
        <v>57</v>
      </c>
      <c r="H273" s="18">
        <v>9.32</v>
      </c>
      <c r="I273" s="17" t="s">
        <v>56</v>
      </c>
      <c r="J273" s="17" t="s">
        <v>55</v>
      </c>
      <c r="K273" s="17"/>
      <c r="L273" s="17"/>
      <c r="M273" s="16" t="str">
        <f>HYPERLINK("http://slimages.macys.com/is/image/MCY/19254685 ")</f>
        <v xml:space="preserve">http://slimages.macys.com/is/image/MCY/19254685 </v>
      </c>
      <c r="N273" s="30"/>
    </row>
    <row r="274" spans="1:14" ht="60" x14ac:dyDescent="0.25">
      <c r="A274" s="19" t="s">
        <v>4275</v>
      </c>
      <c r="B274" s="17" t="s">
        <v>4274</v>
      </c>
      <c r="C274" s="20">
        <v>1</v>
      </c>
      <c r="D274" s="18">
        <v>59.5</v>
      </c>
      <c r="E274" s="20" t="s">
        <v>4273</v>
      </c>
      <c r="F274" s="17" t="s">
        <v>58</v>
      </c>
      <c r="G274" s="19" t="s">
        <v>62</v>
      </c>
      <c r="H274" s="18">
        <v>9.32</v>
      </c>
      <c r="I274" s="17" t="s">
        <v>68</v>
      </c>
      <c r="J274" s="17" t="s">
        <v>67</v>
      </c>
      <c r="K274" s="17" t="s">
        <v>389</v>
      </c>
      <c r="L274" s="17" t="s">
        <v>1044</v>
      </c>
      <c r="M274" s="16" t="str">
        <f>HYPERLINK("http://slimages.macys.com/is/image/MCY/11537461 ")</f>
        <v xml:space="preserve">http://slimages.macys.com/is/image/MCY/11537461 </v>
      </c>
      <c r="N274" s="30"/>
    </row>
    <row r="275" spans="1:14" ht="60" x14ac:dyDescent="0.25">
      <c r="A275" s="19" t="s">
        <v>3393</v>
      </c>
      <c r="B275" s="17" t="s">
        <v>3392</v>
      </c>
      <c r="C275" s="20">
        <v>1</v>
      </c>
      <c r="D275" s="18">
        <v>49.5</v>
      </c>
      <c r="E275" s="20" t="s">
        <v>286</v>
      </c>
      <c r="F275" s="17" t="s">
        <v>91</v>
      </c>
      <c r="G275" s="19" t="s">
        <v>74</v>
      </c>
      <c r="H275" s="18">
        <v>9.32</v>
      </c>
      <c r="I275" s="17" t="s">
        <v>56</v>
      </c>
      <c r="J275" s="17" t="s">
        <v>55</v>
      </c>
      <c r="K275" s="17"/>
      <c r="L275" s="17"/>
      <c r="M275" s="16" t="str">
        <f>HYPERLINK("http://slimages.macys.com/is/image/MCY/16687507 ")</f>
        <v xml:space="preserve">http://slimages.macys.com/is/image/MCY/16687507 </v>
      </c>
      <c r="N275" s="30"/>
    </row>
    <row r="276" spans="1:14" ht="60" x14ac:dyDescent="0.25">
      <c r="A276" s="19" t="s">
        <v>2590</v>
      </c>
      <c r="B276" s="17" t="s">
        <v>2589</v>
      </c>
      <c r="C276" s="20">
        <v>2</v>
      </c>
      <c r="D276" s="18">
        <v>49.5</v>
      </c>
      <c r="E276" s="20" t="s">
        <v>286</v>
      </c>
      <c r="F276" s="17" t="s">
        <v>91</v>
      </c>
      <c r="G276" s="19" t="s">
        <v>197</v>
      </c>
      <c r="H276" s="18">
        <v>9.32</v>
      </c>
      <c r="I276" s="17" t="s">
        <v>56</v>
      </c>
      <c r="J276" s="17" t="s">
        <v>55</v>
      </c>
      <c r="K276" s="17"/>
      <c r="L276" s="17"/>
      <c r="M276" s="16" t="str">
        <f>HYPERLINK("http://slimages.macys.com/is/image/MCY/16687507 ")</f>
        <v xml:space="preserve">http://slimages.macys.com/is/image/MCY/16687507 </v>
      </c>
      <c r="N276" s="30"/>
    </row>
    <row r="277" spans="1:14" ht="60" x14ac:dyDescent="0.25">
      <c r="A277" s="19" t="s">
        <v>4272</v>
      </c>
      <c r="B277" s="17" t="s">
        <v>4271</v>
      </c>
      <c r="C277" s="20">
        <v>1</v>
      </c>
      <c r="D277" s="18">
        <v>49.5</v>
      </c>
      <c r="E277" s="20" t="s">
        <v>286</v>
      </c>
      <c r="F277" s="17" t="s">
        <v>51</v>
      </c>
      <c r="G277" s="19" t="s">
        <v>197</v>
      </c>
      <c r="H277" s="18">
        <v>9.32</v>
      </c>
      <c r="I277" s="17" t="s">
        <v>56</v>
      </c>
      <c r="J277" s="17" t="s">
        <v>55</v>
      </c>
      <c r="K277" s="17"/>
      <c r="L277" s="17"/>
      <c r="M277" s="16" t="str">
        <f>HYPERLINK("http://slimages.macys.com/is/image/MCY/19254685 ")</f>
        <v xml:space="preserve">http://slimages.macys.com/is/image/MCY/19254685 </v>
      </c>
      <c r="N277" s="30"/>
    </row>
    <row r="278" spans="1:14" ht="60" x14ac:dyDescent="0.25">
      <c r="A278" s="19" t="s">
        <v>4270</v>
      </c>
      <c r="B278" s="17" t="s">
        <v>4269</v>
      </c>
      <c r="C278" s="20">
        <v>1</v>
      </c>
      <c r="D278" s="18">
        <v>49.5</v>
      </c>
      <c r="E278" s="20" t="s">
        <v>4268</v>
      </c>
      <c r="F278" s="17" t="s">
        <v>58</v>
      </c>
      <c r="G278" s="19" t="s">
        <v>69</v>
      </c>
      <c r="H278" s="18">
        <v>9.32</v>
      </c>
      <c r="I278" s="17" t="s">
        <v>68</v>
      </c>
      <c r="J278" s="17" t="s">
        <v>67</v>
      </c>
      <c r="K278" s="17"/>
      <c r="L278" s="17"/>
      <c r="M278" s="16" t="str">
        <f>HYPERLINK("http://slimages.macys.com/is/image/MCY/18706220 ")</f>
        <v xml:space="preserve">http://slimages.macys.com/is/image/MCY/18706220 </v>
      </c>
      <c r="N278" s="30"/>
    </row>
    <row r="279" spans="1:14" ht="60" x14ac:dyDescent="0.25">
      <c r="A279" s="19" t="s">
        <v>1803</v>
      </c>
      <c r="B279" s="17" t="s">
        <v>1802</v>
      </c>
      <c r="C279" s="20">
        <v>1</v>
      </c>
      <c r="D279" s="18">
        <v>35</v>
      </c>
      <c r="E279" s="20" t="s">
        <v>1801</v>
      </c>
      <c r="F279" s="17" t="s">
        <v>282</v>
      </c>
      <c r="G279" s="19" t="s">
        <v>22</v>
      </c>
      <c r="H279" s="18">
        <v>9.2533333333333339</v>
      </c>
      <c r="I279" s="17" t="s">
        <v>16</v>
      </c>
      <c r="J279" s="17" t="s">
        <v>15</v>
      </c>
      <c r="K279" s="17"/>
      <c r="L279" s="17"/>
      <c r="M279" s="16" t="str">
        <f>HYPERLINK("http://slimages.macys.com/is/image/MCY/18853792 ")</f>
        <v xml:space="preserve">http://slimages.macys.com/is/image/MCY/18853792 </v>
      </c>
      <c r="N279" s="30"/>
    </row>
    <row r="280" spans="1:14" ht="60" x14ac:dyDescent="0.25">
      <c r="A280" s="19" t="s">
        <v>4267</v>
      </c>
      <c r="B280" s="17" t="s">
        <v>4266</v>
      </c>
      <c r="C280" s="20">
        <v>1</v>
      </c>
      <c r="D280" s="18">
        <v>36.75</v>
      </c>
      <c r="E280" s="20" t="s">
        <v>4265</v>
      </c>
      <c r="F280" s="17" t="s">
        <v>282</v>
      </c>
      <c r="G280" s="19" t="s">
        <v>351</v>
      </c>
      <c r="H280" s="18">
        <v>9.2466666666666679</v>
      </c>
      <c r="I280" s="17" t="s">
        <v>358</v>
      </c>
      <c r="J280" s="17" t="s">
        <v>32</v>
      </c>
      <c r="K280" s="17"/>
      <c r="L280" s="17"/>
      <c r="M280" s="16" t="str">
        <f>HYPERLINK("http://slimages.macys.com/is/image/MCY/19728049 ")</f>
        <v xml:space="preserve">http://slimages.macys.com/is/image/MCY/19728049 </v>
      </c>
      <c r="N280" s="30"/>
    </row>
    <row r="281" spans="1:14" ht="60" x14ac:dyDescent="0.25">
      <c r="A281" s="19" t="s">
        <v>4264</v>
      </c>
      <c r="B281" s="17" t="s">
        <v>4263</v>
      </c>
      <c r="C281" s="20">
        <v>1</v>
      </c>
      <c r="D281" s="18">
        <v>49.5</v>
      </c>
      <c r="E281" s="20" t="s">
        <v>4262</v>
      </c>
      <c r="F281" s="17" t="s">
        <v>23</v>
      </c>
      <c r="G281" s="19" t="s">
        <v>271</v>
      </c>
      <c r="H281" s="18">
        <v>9.0733333333333341</v>
      </c>
      <c r="I281" s="17" t="s">
        <v>267</v>
      </c>
      <c r="J281" s="17" t="s">
        <v>32</v>
      </c>
      <c r="K281" s="17"/>
      <c r="L281" s="17"/>
      <c r="M281" s="16" t="str">
        <f>HYPERLINK("http://slimages.macys.com/is/image/MCY/17925909 ")</f>
        <v xml:space="preserve">http://slimages.macys.com/is/image/MCY/17925909 </v>
      </c>
      <c r="N281" s="30"/>
    </row>
    <row r="282" spans="1:14" ht="60" x14ac:dyDescent="0.25">
      <c r="A282" s="19" t="s">
        <v>4261</v>
      </c>
      <c r="B282" s="17" t="s">
        <v>4260</v>
      </c>
      <c r="C282" s="20">
        <v>1</v>
      </c>
      <c r="D282" s="18">
        <v>49</v>
      </c>
      <c r="E282" s="20" t="s">
        <v>4259</v>
      </c>
      <c r="F282" s="17" t="s">
        <v>726</v>
      </c>
      <c r="G282" s="19" t="s">
        <v>57</v>
      </c>
      <c r="H282" s="18">
        <v>9.0466666666666669</v>
      </c>
      <c r="I282" s="17" t="s">
        <v>405</v>
      </c>
      <c r="J282" s="17" t="s">
        <v>404</v>
      </c>
      <c r="K282" s="17"/>
      <c r="L282" s="17"/>
      <c r="M282" s="16" t="str">
        <f>HYPERLINK("http://slimages.macys.com/is/image/MCY/19790270 ")</f>
        <v xml:space="preserve">http://slimages.macys.com/is/image/MCY/19790270 </v>
      </c>
      <c r="N282" s="30"/>
    </row>
    <row r="283" spans="1:14" ht="60" x14ac:dyDescent="0.25">
      <c r="A283" s="19" t="s">
        <v>4258</v>
      </c>
      <c r="B283" s="17" t="s">
        <v>4257</v>
      </c>
      <c r="C283" s="20">
        <v>1</v>
      </c>
      <c r="D283" s="18">
        <v>49</v>
      </c>
      <c r="E283" s="20" t="s">
        <v>4256</v>
      </c>
      <c r="F283" s="17" t="s">
        <v>23</v>
      </c>
      <c r="G283" s="19" t="s">
        <v>69</v>
      </c>
      <c r="H283" s="18">
        <v>9.0466666666666669</v>
      </c>
      <c r="I283" s="17" t="s">
        <v>405</v>
      </c>
      <c r="J283" s="17" t="s">
        <v>404</v>
      </c>
      <c r="K283" s="17"/>
      <c r="L283" s="17"/>
      <c r="M283" s="16" t="str">
        <f>HYPERLINK("http://slimages.macys.com/is/image/MCY/17840363 ")</f>
        <v xml:space="preserve">http://slimages.macys.com/is/image/MCY/17840363 </v>
      </c>
      <c r="N283" s="30"/>
    </row>
    <row r="284" spans="1:14" ht="60" x14ac:dyDescent="0.25">
      <c r="A284" s="19" t="s">
        <v>4255</v>
      </c>
      <c r="B284" s="17" t="s">
        <v>4254</v>
      </c>
      <c r="C284" s="20">
        <v>1</v>
      </c>
      <c r="D284" s="18">
        <v>35</v>
      </c>
      <c r="E284" s="20" t="s">
        <v>4253</v>
      </c>
      <c r="F284" s="17" t="s">
        <v>1526</v>
      </c>
      <c r="G284" s="19" t="s">
        <v>17</v>
      </c>
      <c r="H284" s="18">
        <v>8.6866666666666674</v>
      </c>
      <c r="I284" s="17" t="s">
        <v>16</v>
      </c>
      <c r="J284" s="17" t="s">
        <v>15</v>
      </c>
      <c r="K284" s="17"/>
      <c r="L284" s="17"/>
      <c r="M284" s="16" t="str">
        <f>HYPERLINK("http://slimages.macys.com/is/image/MCY/18799108 ")</f>
        <v xml:space="preserve">http://slimages.macys.com/is/image/MCY/18799108 </v>
      </c>
      <c r="N284" s="30"/>
    </row>
    <row r="285" spans="1:14" ht="60" x14ac:dyDescent="0.25">
      <c r="A285" s="19" t="s">
        <v>4252</v>
      </c>
      <c r="B285" s="17" t="s">
        <v>4251</v>
      </c>
      <c r="C285" s="20">
        <v>1</v>
      </c>
      <c r="D285" s="18">
        <v>35</v>
      </c>
      <c r="E285" s="20" t="s">
        <v>4250</v>
      </c>
      <c r="F285" s="17" t="s">
        <v>85</v>
      </c>
      <c r="G285" s="19" t="s">
        <v>17</v>
      </c>
      <c r="H285" s="18">
        <v>8.6866666666666674</v>
      </c>
      <c r="I285" s="17" t="s">
        <v>16</v>
      </c>
      <c r="J285" s="17" t="s">
        <v>15</v>
      </c>
      <c r="K285" s="17"/>
      <c r="L285" s="17"/>
      <c r="M285" s="16" t="str">
        <f>HYPERLINK("http://slimages.macys.com/is/image/MCY/18053762 ")</f>
        <v xml:space="preserve">http://slimages.macys.com/is/image/MCY/18053762 </v>
      </c>
      <c r="N285" s="30"/>
    </row>
    <row r="286" spans="1:14" ht="60" x14ac:dyDescent="0.25">
      <c r="A286" s="19" t="s">
        <v>4249</v>
      </c>
      <c r="B286" s="17" t="s">
        <v>4248</v>
      </c>
      <c r="C286" s="20">
        <v>1</v>
      </c>
      <c r="D286" s="18">
        <v>39</v>
      </c>
      <c r="E286" s="20" t="s">
        <v>4247</v>
      </c>
      <c r="F286" s="17" t="s">
        <v>23</v>
      </c>
      <c r="G286" s="19" t="s">
        <v>50</v>
      </c>
      <c r="H286" s="18">
        <v>8.6066666666666674</v>
      </c>
      <c r="I286" s="17" t="s">
        <v>49</v>
      </c>
      <c r="J286" s="17" t="s">
        <v>48</v>
      </c>
      <c r="K286" s="17"/>
      <c r="L286" s="17"/>
      <c r="M286" s="16" t="str">
        <f>HYPERLINK("http://slimages.macys.com/is/image/MCY/19348950 ")</f>
        <v xml:space="preserve">http://slimages.macys.com/is/image/MCY/19348950 </v>
      </c>
      <c r="N286" s="30"/>
    </row>
    <row r="287" spans="1:14" ht="60" x14ac:dyDescent="0.25">
      <c r="A287" s="19" t="s">
        <v>4246</v>
      </c>
      <c r="B287" s="17" t="s">
        <v>4245</v>
      </c>
      <c r="C287" s="20">
        <v>1</v>
      </c>
      <c r="D287" s="18">
        <v>39</v>
      </c>
      <c r="E287" s="20" t="s">
        <v>4244</v>
      </c>
      <c r="F287" s="17" t="s">
        <v>206</v>
      </c>
      <c r="G287" s="19" t="s">
        <v>50</v>
      </c>
      <c r="H287" s="18">
        <v>8.6066666666666674</v>
      </c>
      <c r="I287" s="17" t="s">
        <v>49</v>
      </c>
      <c r="J287" s="17" t="s">
        <v>48</v>
      </c>
      <c r="K287" s="17"/>
      <c r="L287" s="17"/>
      <c r="M287" s="16" t="str">
        <f>HYPERLINK("http://slimages.macys.com/is/image/MCY/19634650 ")</f>
        <v xml:space="preserve">http://slimages.macys.com/is/image/MCY/19634650 </v>
      </c>
      <c r="N287" s="30"/>
    </row>
    <row r="288" spans="1:14" ht="60" x14ac:dyDescent="0.25">
      <c r="A288" s="19" t="s">
        <v>4243</v>
      </c>
      <c r="B288" s="17" t="s">
        <v>4242</v>
      </c>
      <c r="C288" s="20">
        <v>1</v>
      </c>
      <c r="D288" s="18">
        <v>49</v>
      </c>
      <c r="E288" s="20" t="s">
        <v>4241</v>
      </c>
      <c r="F288" s="17" t="s">
        <v>28</v>
      </c>
      <c r="G288" s="19" t="s">
        <v>74</v>
      </c>
      <c r="H288" s="18">
        <v>8.4933333333333341</v>
      </c>
      <c r="I288" s="17" t="s">
        <v>144</v>
      </c>
      <c r="J288" s="17" t="s">
        <v>496</v>
      </c>
      <c r="K288" s="17"/>
      <c r="L288" s="17"/>
      <c r="M288" s="16" t="str">
        <f>HYPERLINK("http://slimages.macys.com/is/image/MCY/19447728 ")</f>
        <v xml:space="preserve">http://slimages.macys.com/is/image/MCY/19447728 </v>
      </c>
      <c r="N288" s="30"/>
    </row>
    <row r="289" spans="1:14" ht="60" x14ac:dyDescent="0.25">
      <c r="A289" s="19" t="s">
        <v>3345</v>
      </c>
      <c r="B289" s="17" t="s">
        <v>3344</v>
      </c>
      <c r="C289" s="20">
        <v>1</v>
      </c>
      <c r="D289" s="18">
        <v>44.5</v>
      </c>
      <c r="E289" s="20" t="s">
        <v>3339</v>
      </c>
      <c r="F289" s="17" t="s">
        <v>23</v>
      </c>
      <c r="G289" s="19" t="s">
        <v>271</v>
      </c>
      <c r="H289" s="18">
        <v>8.379999999999999</v>
      </c>
      <c r="I289" s="17" t="s">
        <v>1891</v>
      </c>
      <c r="J289" s="17" t="s">
        <v>67</v>
      </c>
      <c r="K289" s="17"/>
      <c r="L289" s="17"/>
      <c r="M289" s="16" t="str">
        <f>HYPERLINK("http://slimages.macys.com/is/image/MCY/16862113 ")</f>
        <v xml:space="preserve">http://slimages.macys.com/is/image/MCY/16862113 </v>
      </c>
      <c r="N289" s="30"/>
    </row>
    <row r="290" spans="1:14" ht="60" x14ac:dyDescent="0.25">
      <c r="A290" s="19" t="s">
        <v>4240</v>
      </c>
      <c r="B290" s="17" t="s">
        <v>4239</v>
      </c>
      <c r="C290" s="20">
        <v>1</v>
      </c>
      <c r="D290" s="18">
        <v>44.5</v>
      </c>
      <c r="E290" s="20" t="s">
        <v>4238</v>
      </c>
      <c r="F290" s="17" t="s">
        <v>23</v>
      </c>
      <c r="G290" s="19"/>
      <c r="H290" s="18">
        <v>8.379999999999999</v>
      </c>
      <c r="I290" s="17" t="s">
        <v>1891</v>
      </c>
      <c r="J290" s="17" t="s">
        <v>67</v>
      </c>
      <c r="K290" s="17"/>
      <c r="L290" s="17"/>
      <c r="M290" s="16" t="str">
        <f>HYPERLINK("http://slimages.macys.com/is/image/MCY/16862075 ")</f>
        <v xml:space="preserve">http://slimages.macys.com/is/image/MCY/16862075 </v>
      </c>
      <c r="N290" s="30"/>
    </row>
    <row r="291" spans="1:14" ht="60" x14ac:dyDescent="0.25">
      <c r="A291" s="19" t="s">
        <v>4237</v>
      </c>
      <c r="B291" s="17" t="s">
        <v>4236</v>
      </c>
      <c r="C291" s="20">
        <v>1</v>
      </c>
      <c r="D291" s="18">
        <v>44.5</v>
      </c>
      <c r="E291" s="20" t="s">
        <v>3339</v>
      </c>
      <c r="F291" s="17" t="s">
        <v>23</v>
      </c>
      <c r="G291" s="19" t="s">
        <v>139</v>
      </c>
      <c r="H291" s="18">
        <v>8.379999999999999</v>
      </c>
      <c r="I291" s="17" t="s">
        <v>1891</v>
      </c>
      <c r="J291" s="17" t="s">
        <v>67</v>
      </c>
      <c r="K291" s="17"/>
      <c r="L291" s="17"/>
      <c r="M291" s="16" t="str">
        <f>HYPERLINK("http://slimages.macys.com/is/image/MCY/16862113 ")</f>
        <v xml:space="preserve">http://slimages.macys.com/is/image/MCY/16862113 </v>
      </c>
      <c r="N291" s="30"/>
    </row>
    <row r="292" spans="1:14" ht="60" x14ac:dyDescent="0.25">
      <c r="A292" s="19" t="s">
        <v>4235</v>
      </c>
      <c r="B292" s="17" t="s">
        <v>4234</v>
      </c>
      <c r="C292" s="20">
        <v>1</v>
      </c>
      <c r="D292" s="18">
        <v>50</v>
      </c>
      <c r="E292" s="20">
        <v>30136795</v>
      </c>
      <c r="F292" s="17" t="s">
        <v>282</v>
      </c>
      <c r="G292" s="19" t="s">
        <v>857</v>
      </c>
      <c r="H292" s="18">
        <v>8.3333333333333339</v>
      </c>
      <c r="I292" s="17" t="s">
        <v>1777</v>
      </c>
      <c r="J292" s="17" t="s">
        <v>1776</v>
      </c>
      <c r="K292" s="17"/>
      <c r="L292" s="17"/>
      <c r="M292" s="16" t="str">
        <f>HYPERLINK("http://slimages.macys.com/is/image/MCY/18284959 ")</f>
        <v xml:space="preserve">http://slimages.macys.com/is/image/MCY/18284959 </v>
      </c>
      <c r="N292" s="30"/>
    </row>
    <row r="293" spans="1:14" ht="60" x14ac:dyDescent="0.25">
      <c r="A293" s="19" t="s">
        <v>4233</v>
      </c>
      <c r="B293" s="17" t="s">
        <v>4232</v>
      </c>
      <c r="C293" s="20">
        <v>1</v>
      </c>
      <c r="D293" s="18">
        <v>48</v>
      </c>
      <c r="E293" s="20" t="s">
        <v>4231</v>
      </c>
      <c r="F293" s="17" t="s">
        <v>51</v>
      </c>
      <c r="G293" s="19" t="s">
        <v>74</v>
      </c>
      <c r="H293" s="18">
        <v>8.2333333333333343</v>
      </c>
      <c r="I293" s="17" t="s">
        <v>80</v>
      </c>
      <c r="J293" s="17" t="s">
        <v>79</v>
      </c>
      <c r="K293" s="17"/>
      <c r="L293" s="17"/>
      <c r="M293" s="16" t="str">
        <f>HYPERLINK("http://slimages.macys.com/is/image/MCY/18593805 ")</f>
        <v xml:space="preserve">http://slimages.macys.com/is/image/MCY/18593805 </v>
      </c>
      <c r="N293" s="30"/>
    </row>
    <row r="294" spans="1:14" ht="60" x14ac:dyDescent="0.25">
      <c r="A294" s="19" t="s">
        <v>4230</v>
      </c>
      <c r="B294" s="17" t="s">
        <v>4229</v>
      </c>
      <c r="C294" s="20">
        <v>1</v>
      </c>
      <c r="D294" s="18">
        <v>49</v>
      </c>
      <c r="E294" s="20" t="s">
        <v>4228</v>
      </c>
      <c r="F294" s="17" t="s">
        <v>578</v>
      </c>
      <c r="G294" s="19" t="s">
        <v>17</v>
      </c>
      <c r="H294" s="18">
        <v>8.1666666666666679</v>
      </c>
      <c r="I294" s="17" t="s">
        <v>129</v>
      </c>
      <c r="J294" s="17" t="s">
        <v>128</v>
      </c>
      <c r="K294" s="17"/>
      <c r="L294" s="17"/>
      <c r="M294" s="16" t="str">
        <f>HYPERLINK("http://slimages.macys.com/is/image/MCY/19146415 ")</f>
        <v xml:space="preserve">http://slimages.macys.com/is/image/MCY/19146415 </v>
      </c>
      <c r="N294" s="30"/>
    </row>
    <row r="295" spans="1:14" ht="84" x14ac:dyDescent="0.25">
      <c r="A295" s="19" t="s">
        <v>1038</v>
      </c>
      <c r="B295" s="17" t="s">
        <v>1037</v>
      </c>
      <c r="C295" s="20">
        <v>1</v>
      </c>
      <c r="D295" s="18">
        <v>30</v>
      </c>
      <c r="E295" s="20" t="s">
        <v>1029</v>
      </c>
      <c r="F295" s="17" t="s">
        <v>51</v>
      </c>
      <c r="G295" s="19" t="s">
        <v>22</v>
      </c>
      <c r="H295" s="18">
        <v>7.8666666666666663</v>
      </c>
      <c r="I295" s="17" t="s">
        <v>16</v>
      </c>
      <c r="J295" s="17" t="s">
        <v>15</v>
      </c>
      <c r="K295" s="17" t="s">
        <v>389</v>
      </c>
      <c r="L295" s="17" t="s">
        <v>1028</v>
      </c>
      <c r="M295" s="16" t="str">
        <f>HYPERLINK("http://slimages.macys.com/is/image/MCY/9343963 ")</f>
        <v xml:space="preserve">http://slimages.macys.com/is/image/MCY/9343963 </v>
      </c>
      <c r="N295" s="30"/>
    </row>
    <row r="296" spans="1:14" ht="84" x14ac:dyDescent="0.25">
      <c r="A296" s="19" t="s">
        <v>4227</v>
      </c>
      <c r="B296" s="17" t="s">
        <v>4226</v>
      </c>
      <c r="C296" s="20">
        <v>1</v>
      </c>
      <c r="D296" s="18">
        <v>30</v>
      </c>
      <c r="E296" s="20" t="s">
        <v>1029</v>
      </c>
      <c r="F296" s="17" t="s">
        <v>1526</v>
      </c>
      <c r="G296" s="19" t="s">
        <v>50</v>
      </c>
      <c r="H296" s="18">
        <v>7.8666666666666663</v>
      </c>
      <c r="I296" s="17" t="s">
        <v>16</v>
      </c>
      <c r="J296" s="17" t="s">
        <v>15</v>
      </c>
      <c r="K296" s="17" t="s">
        <v>389</v>
      </c>
      <c r="L296" s="17" t="s">
        <v>1028</v>
      </c>
      <c r="M296" s="16" t="str">
        <f>HYPERLINK("http://slimages.macys.com/is/image/MCY/11360928 ")</f>
        <v xml:space="preserve">http://slimages.macys.com/is/image/MCY/11360928 </v>
      </c>
      <c r="N296" s="30"/>
    </row>
    <row r="297" spans="1:14" ht="60" x14ac:dyDescent="0.25">
      <c r="A297" s="19" t="s">
        <v>4225</v>
      </c>
      <c r="B297" s="17" t="s">
        <v>4224</v>
      </c>
      <c r="C297" s="20">
        <v>1</v>
      </c>
      <c r="D297" s="18">
        <v>46</v>
      </c>
      <c r="E297" s="20">
        <v>30139505</v>
      </c>
      <c r="F297" s="17" t="s">
        <v>282</v>
      </c>
      <c r="G297" s="19" t="s">
        <v>698</v>
      </c>
      <c r="H297" s="18">
        <v>7.6666666666666661</v>
      </c>
      <c r="I297" s="17" t="s">
        <v>1777</v>
      </c>
      <c r="J297" s="17" t="s">
        <v>1776</v>
      </c>
      <c r="K297" s="17"/>
      <c r="L297" s="17"/>
      <c r="M297" s="16" t="str">
        <f>HYPERLINK("http://slimages.macys.com/is/image/MCY/18284945 ")</f>
        <v xml:space="preserve">http://slimages.macys.com/is/image/MCY/18284945 </v>
      </c>
      <c r="N297" s="30"/>
    </row>
    <row r="298" spans="1:14" ht="60" x14ac:dyDescent="0.25">
      <c r="A298" s="19" t="s">
        <v>4223</v>
      </c>
      <c r="B298" s="17" t="s">
        <v>4222</v>
      </c>
      <c r="C298" s="20">
        <v>1</v>
      </c>
      <c r="D298" s="18">
        <v>46</v>
      </c>
      <c r="E298" s="20">
        <v>30139505</v>
      </c>
      <c r="F298" s="17" t="s">
        <v>282</v>
      </c>
      <c r="G298" s="19" t="s">
        <v>898</v>
      </c>
      <c r="H298" s="18">
        <v>7.6666666666666661</v>
      </c>
      <c r="I298" s="17" t="s">
        <v>1777</v>
      </c>
      <c r="J298" s="17" t="s">
        <v>1776</v>
      </c>
      <c r="K298" s="17"/>
      <c r="L298" s="17"/>
      <c r="M298" s="16" t="str">
        <f>HYPERLINK("http://slimages.macys.com/is/image/MCY/18284945 ")</f>
        <v xml:space="preserve">http://slimages.macys.com/is/image/MCY/18284945 </v>
      </c>
      <c r="N298" s="30"/>
    </row>
    <row r="299" spans="1:14" ht="60" x14ac:dyDescent="0.25">
      <c r="A299" s="19" t="s">
        <v>4221</v>
      </c>
      <c r="B299" s="17" t="s">
        <v>4220</v>
      </c>
      <c r="C299" s="20">
        <v>3</v>
      </c>
      <c r="D299" s="18">
        <v>30</v>
      </c>
      <c r="E299" s="20" t="s">
        <v>1746</v>
      </c>
      <c r="F299" s="17" t="s">
        <v>282</v>
      </c>
      <c r="G299" s="19" t="s">
        <v>22</v>
      </c>
      <c r="H299" s="18">
        <v>7.5533333333333337</v>
      </c>
      <c r="I299" s="17" t="s">
        <v>16</v>
      </c>
      <c r="J299" s="17" t="s">
        <v>15</v>
      </c>
      <c r="K299" s="17"/>
      <c r="L299" s="17"/>
      <c r="M299" s="16" t="str">
        <f>HYPERLINK("http://slimages.macys.com/is/image/MCY/19026246 ")</f>
        <v xml:space="preserve">http://slimages.macys.com/is/image/MCY/19026246 </v>
      </c>
      <c r="N299" s="30"/>
    </row>
    <row r="300" spans="1:14" ht="60" x14ac:dyDescent="0.25">
      <c r="A300" s="19" t="s">
        <v>4219</v>
      </c>
      <c r="B300" s="17" t="s">
        <v>4218</v>
      </c>
      <c r="C300" s="20">
        <v>9</v>
      </c>
      <c r="D300" s="18">
        <v>30</v>
      </c>
      <c r="E300" s="20" t="s">
        <v>1746</v>
      </c>
      <c r="F300" s="17" t="s">
        <v>282</v>
      </c>
      <c r="G300" s="19" t="s">
        <v>27</v>
      </c>
      <c r="H300" s="18">
        <v>7.5533333333333337</v>
      </c>
      <c r="I300" s="17" t="s">
        <v>16</v>
      </c>
      <c r="J300" s="17" t="s">
        <v>15</v>
      </c>
      <c r="K300" s="17"/>
      <c r="L300" s="17"/>
      <c r="M300" s="16" t="str">
        <f>HYPERLINK("http://slimages.macys.com/is/image/MCY/19026246 ")</f>
        <v xml:space="preserve">http://slimages.macys.com/is/image/MCY/19026246 </v>
      </c>
      <c r="N300" s="30"/>
    </row>
    <row r="301" spans="1:14" ht="60" x14ac:dyDescent="0.25">
      <c r="A301" s="19" t="s">
        <v>4217</v>
      </c>
      <c r="B301" s="17" t="s">
        <v>4216</v>
      </c>
      <c r="C301" s="20">
        <v>1</v>
      </c>
      <c r="D301" s="18">
        <v>30</v>
      </c>
      <c r="E301" s="20" t="s">
        <v>226</v>
      </c>
      <c r="F301" s="17" t="s">
        <v>881</v>
      </c>
      <c r="G301" s="19" t="s">
        <v>50</v>
      </c>
      <c r="H301" s="18">
        <v>7.5533333333333337</v>
      </c>
      <c r="I301" s="17" t="s">
        <v>16</v>
      </c>
      <c r="J301" s="17" t="s">
        <v>15</v>
      </c>
      <c r="K301" s="17"/>
      <c r="L301" s="17"/>
      <c r="M301" s="16" t="str">
        <f>HYPERLINK("http://slimages.macys.com/is/image/MCY/19060581 ")</f>
        <v xml:space="preserve">http://slimages.macys.com/is/image/MCY/19060581 </v>
      </c>
      <c r="N301" s="30"/>
    </row>
    <row r="302" spans="1:14" ht="60" x14ac:dyDescent="0.25">
      <c r="A302" s="19" t="s">
        <v>4215</v>
      </c>
      <c r="B302" s="17" t="s">
        <v>4214</v>
      </c>
      <c r="C302" s="20">
        <v>4</v>
      </c>
      <c r="D302" s="18">
        <v>30</v>
      </c>
      <c r="E302" s="20" t="s">
        <v>1746</v>
      </c>
      <c r="F302" s="17" t="s">
        <v>282</v>
      </c>
      <c r="G302" s="19" t="s">
        <v>17</v>
      </c>
      <c r="H302" s="18">
        <v>7.5533333333333337</v>
      </c>
      <c r="I302" s="17" t="s">
        <v>16</v>
      </c>
      <c r="J302" s="17" t="s">
        <v>15</v>
      </c>
      <c r="K302" s="17"/>
      <c r="L302" s="17"/>
      <c r="M302" s="16" t="str">
        <f>HYPERLINK("http://slimages.macys.com/is/image/MCY/19026246 ")</f>
        <v xml:space="preserve">http://slimages.macys.com/is/image/MCY/19026246 </v>
      </c>
      <c r="N302" s="30"/>
    </row>
    <row r="303" spans="1:14" ht="60" x14ac:dyDescent="0.25">
      <c r="A303" s="19" t="s">
        <v>4213</v>
      </c>
      <c r="B303" s="17" t="s">
        <v>4212</v>
      </c>
      <c r="C303" s="20">
        <v>2</v>
      </c>
      <c r="D303" s="18">
        <v>30</v>
      </c>
      <c r="E303" s="20" t="s">
        <v>1746</v>
      </c>
      <c r="F303" s="17" t="s">
        <v>282</v>
      </c>
      <c r="G303" s="19" t="s">
        <v>101</v>
      </c>
      <c r="H303" s="18">
        <v>7.5533333333333337</v>
      </c>
      <c r="I303" s="17" t="s">
        <v>16</v>
      </c>
      <c r="J303" s="17" t="s">
        <v>15</v>
      </c>
      <c r="K303" s="17"/>
      <c r="L303" s="17"/>
      <c r="M303" s="16" t="str">
        <f>HYPERLINK("http://slimages.macys.com/is/image/MCY/19026246 ")</f>
        <v xml:space="preserve">http://slimages.macys.com/is/image/MCY/19026246 </v>
      </c>
      <c r="N303" s="30"/>
    </row>
    <row r="304" spans="1:14" ht="60" x14ac:dyDescent="0.25">
      <c r="A304" s="19" t="s">
        <v>4211</v>
      </c>
      <c r="B304" s="17" t="s">
        <v>4210</v>
      </c>
      <c r="C304" s="20">
        <v>1</v>
      </c>
      <c r="D304" s="18">
        <v>39.5</v>
      </c>
      <c r="E304" s="20" t="s">
        <v>2542</v>
      </c>
      <c r="F304" s="17" t="s">
        <v>58</v>
      </c>
      <c r="G304" s="19" t="s">
        <v>74</v>
      </c>
      <c r="H304" s="18">
        <v>7.4400000000000013</v>
      </c>
      <c r="I304" s="17" t="s">
        <v>56</v>
      </c>
      <c r="J304" s="17" t="s">
        <v>55</v>
      </c>
      <c r="K304" s="17"/>
      <c r="L304" s="17"/>
      <c r="M304" s="16" t="str">
        <f>HYPERLINK("http://slimages.macys.com/is/image/MCY/16688361 ")</f>
        <v xml:space="preserve">http://slimages.macys.com/is/image/MCY/16688361 </v>
      </c>
      <c r="N304" s="30"/>
    </row>
    <row r="305" spans="1:14" ht="60" x14ac:dyDescent="0.25">
      <c r="A305" s="19" t="s">
        <v>215</v>
      </c>
      <c r="B305" s="17" t="s">
        <v>214</v>
      </c>
      <c r="C305" s="20">
        <v>4</v>
      </c>
      <c r="D305" s="18">
        <v>39.5</v>
      </c>
      <c r="E305" s="20" t="s">
        <v>213</v>
      </c>
      <c r="F305" s="17" t="s">
        <v>63</v>
      </c>
      <c r="G305" s="19" t="s">
        <v>69</v>
      </c>
      <c r="H305" s="18">
        <v>7.4400000000000013</v>
      </c>
      <c r="I305" s="17" t="s">
        <v>56</v>
      </c>
      <c r="J305" s="17" t="s">
        <v>55</v>
      </c>
      <c r="K305" s="17"/>
      <c r="L305" s="17"/>
      <c r="M305" s="16" t="str">
        <f>HYPERLINK("http://slimages.macys.com/is/image/MCY/19179536 ")</f>
        <v xml:space="preserve">http://slimages.macys.com/is/image/MCY/19179536 </v>
      </c>
      <c r="N305" s="30"/>
    </row>
    <row r="306" spans="1:14" ht="60" x14ac:dyDescent="0.25">
      <c r="A306" s="19" t="s">
        <v>4209</v>
      </c>
      <c r="B306" s="17" t="s">
        <v>4208</v>
      </c>
      <c r="C306" s="20">
        <v>1</v>
      </c>
      <c r="D306" s="18">
        <v>39.5</v>
      </c>
      <c r="E306" s="20" t="s">
        <v>4207</v>
      </c>
      <c r="F306" s="17" t="s">
        <v>58</v>
      </c>
      <c r="G306" s="19" t="s">
        <v>74</v>
      </c>
      <c r="H306" s="18">
        <v>7.4400000000000013</v>
      </c>
      <c r="I306" s="17" t="s">
        <v>56</v>
      </c>
      <c r="J306" s="17" t="s">
        <v>55</v>
      </c>
      <c r="K306" s="17"/>
      <c r="L306" s="17"/>
      <c r="M306" s="16" t="str">
        <f>HYPERLINK("http://slimages.macys.com/is/image/MCY/19180119 ")</f>
        <v xml:space="preserve">http://slimages.macys.com/is/image/MCY/19180119 </v>
      </c>
      <c r="N306" s="30"/>
    </row>
    <row r="307" spans="1:14" ht="60" x14ac:dyDescent="0.25">
      <c r="A307" s="19" t="s">
        <v>1723</v>
      </c>
      <c r="B307" s="17" t="s">
        <v>1722</v>
      </c>
      <c r="C307" s="20">
        <v>1</v>
      </c>
      <c r="D307" s="18">
        <v>39.5</v>
      </c>
      <c r="E307" s="20" t="s">
        <v>1000</v>
      </c>
      <c r="F307" s="17" t="s">
        <v>91</v>
      </c>
      <c r="G307" s="19" t="s">
        <v>57</v>
      </c>
      <c r="H307" s="18">
        <v>7.4400000000000013</v>
      </c>
      <c r="I307" s="17" t="s">
        <v>56</v>
      </c>
      <c r="J307" s="17" t="s">
        <v>55</v>
      </c>
      <c r="K307" s="17"/>
      <c r="L307" s="17"/>
      <c r="M307" s="16" t="str">
        <f>HYPERLINK("http://slimages.macys.com/is/image/MCY/19394976 ")</f>
        <v xml:space="preserve">http://slimages.macys.com/is/image/MCY/19394976 </v>
      </c>
      <c r="N307" s="30"/>
    </row>
    <row r="308" spans="1:14" ht="60" x14ac:dyDescent="0.25">
      <c r="A308" s="19" t="s">
        <v>994</v>
      </c>
      <c r="B308" s="17" t="s">
        <v>993</v>
      </c>
      <c r="C308" s="20">
        <v>1</v>
      </c>
      <c r="D308" s="18">
        <v>39.5</v>
      </c>
      <c r="E308" s="20" t="s">
        <v>213</v>
      </c>
      <c r="F308" s="17" t="s">
        <v>23</v>
      </c>
      <c r="G308" s="19" t="s">
        <v>57</v>
      </c>
      <c r="H308" s="18">
        <v>7.4400000000000013</v>
      </c>
      <c r="I308" s="17" t="s">
        <v>56</v>
      </c>
      <c r="J308" s="17" t="s">
        <v>55</v>
      </c>
      <c r="K308" s="17"/>
      <c r="L308" s="17"/>
      <c r="M308" s="16" t="str">
        <f>HYPERLINK("http://slimages.macys.com/is/image/MCY/19179536 ")</f>
        <v xml:space="preserve">http://slimages.macys.com/is/image/MCY/19179536 </v>
      </c>
      <c r="N308" s="30"/>
    </row>
    <row r="309" spans="1:14" ht="60" x14ac:dyDescent="0.25">
      <c r="A309" s="19" t="s">
        <v>999</v>
      </c>
      <c r="B309" s="17" t="s">
        <v>998</v>
      </c>
      <c r="C309" s="20">
        <v>6</v>
      </c>
      <c r="D309" s="18">
        <v>39.5</v>
      </c>
      <c r="E309" s="20" t="s">
        <v>213</v>
      </c>
      <c r="F309" s="17" t="s">
        <v>23</v>
      </c>
      <c r="G309" s="19" t="s">
        <v>69</v>
      </c>
      <c r="H309" s="18">
        <v>7.4400000000000013</v>
      </c>
      <c r="I309" s="17" t="s">
        <v>56</v>
      </c>
      <c r="J309" s="17" t="s">
        <v>55</v>
      </c>
      <c r="K309" s="17"/>
      <c r="L309" s="17"/>
      <c r="M309" s="16" t="str">
        <f>HYPERLINK("http://slimages.macys.com/is/image/MCY/19179536 ")</f>
        <v xml:space="preserve">http://slimages.macys.com/is/image/MCY/19179536 </v>
      </c>
      <c r="N309" s="30"/>
    </row>
    <row r="310" spans="1:14" ht="60" x14ac:dyDescent="0.25">
      <c r="A310" s="19" t="s">
        <v>1016</v>
      </c>
      <c r="B310" s="17" t="s">
        <v>1015</v>
      </c>
      <c r="C310" s="20">
        <v>1</v>
      </c>
      <c r="D310" s="18">
        <v>39.5</v>
      </c>
      <c r="E310" s="20" t="s">
        <v>1000</v>
      </c>
      <c r="F310" s="17" t="s">
        <v>91</v>
      </c>
      <c r="G310" s="19" t="s">
        <v>74</v>
      </c>
      <c r="H310" s="18">
        <v>7.4400000000000013</v>
      </c>
      <c r="I310" s="17" t="s">
        <v>56</v>
      </c>
      <c r="J310" s="17" t="s">
        <v>55</v>
      </c>
      <c r="K310" s="17"/>
      <c r="L310" s="17"/>
      <c r="M310" s="16" t="str">
        <f>HYPERLINK("http://slimages.macys.com/is/image/MCY/19394976 ")</f>
        <v xml:space="preserve">http://slimages.macys.com/is/image/MCY/19394976 </v>
      </c>
      <c r="N310" s="30"/>
    </row>
    <row r="311" spans="1:14" ht="60" x14ac:dyDescent="0.25">
      <c r="A311" s="19" t="s">
        <v>2536</v>
      </c>
      <c r="B311" s="17" t="s">
        <v>2535</v>
      </c>
      <c r="C311" s="20">
        <v>1</v>
      </c>
      <c r="D311" s="18">
        <v>39.5</v>
      </c>
      <c r="E311" s="20" t="s">
        <v>1000</v>
      </c>
      <c r="F311" s="17" t="s">
        <v>91</v>
      </c>
      <c r="G311" s="19" t="s">
        <v>69</v>
      </c>
      <c r="H311" s="18">
        <v>7.4400000000000013</v>
      </c>
      <c r="I311" s="17" t="s">
        <v>56</v>
      </c>
      <c r="J311" s="17" t="s">
        <v>55</v>
      </c>
      <c r="K311" s="17"/>
      <c r="L311" s="17"/>
      <c r="M311" s="16" t="str">
        <f>HYPERLINK("http://slimages.macys.com/is/image/MCY/19394976 ")</f>
        <v xml:space="preserve">http://slimages.macys.com/is/image/MCY/19394976 </v>
      </c>
      <c r="N311" s="30"/>
    </row>
    <row r="312" spans="1:14" ht="60" x14ac:dyDescent="0.25">
      <c r="A312" s="19" t="s">
        <v>990</v>
      </c>
      <c r="B312" s="17" t="s">
        <v>989</v>
      </c>
      <c r="C312" s="20">
        <v>1</v>
      </c>
      <c r="D312" s="18">
        <v>39.5</v>
      </c>
      <c r="E312" s="20" t="s">
        <v>213</v>
      </c>
      <c r="F312" s="17" t="s">
        <v>63</v>
      </c>
      <c r="G312" s="19" t="s">
        <v>57</v>
      </c>
      <c r="H312" s="18">
        <v>7.4400000000000013</v>
      </c>
      <c r="I312" s="17" t="s">
        <v>56</v>
      </c>
      <c r="J312" s="17" t="s">
        <v>55</v>
      </c>
      <c r="K312" s="17"/>
      <c r="L312" s="17"/>
      <c r="M312" s="16" t="str">
        <f>HYPERLINK("http://slimages.macys.com/is/image/MCY/19179536 ")</f>
        <v xml:space="preserve">http://slimages.macys.com/is/image/MCY/19179536 </v>
      </c>
      <c r="N312" s="30"/>
    </row>
    <row r="313" spans="1:14" ht="60" x14ac:dyDescent="0.25">
      <c r="A313" s="19" t="s">
        <v>2529</v>
      </c>
      <c r="B313" s="17" t="s">
        <v>2528</v>
      </c>
      <c r="C313" s="20">
        <v>1</v>
      </c>
      <c r="D313" s="18">
        <v>39.5</v>
      </c>
      <c r="E313" s="20" t="s">
        <v>2527</v>
      </c>
      <c r="F313" s="17" t="s">
        <v>282</v>
      </c>
      <c r="G313" s="19" t="s">
        <v>62</v>
      </c>
      <c r="H313" s="18">
        <v>7.4400000000000013</v>
      </c>
      <c r="I313" s="17" t="s">
        <v>56</v>
      </c>
      <c r="J313" s="17" t="s">
        <v>55</v>
      </c>
      <c r="K313" s="17"/>
      <c r="L313" s="17"/>
      <c r="M313" s="16" t="str">
        <f>HYPERLINK("http://slimages.macys.com/is/image/MCY/19395119 ")</f>
        <v xml:space="preserve">http://slimages.macys.com/is/image/MCY/19395119 </v>
      </c>
      <c r="N313" s="30"/>
    </row>
    <row r="314" spans="1:14" ht="60" x14ac:dyDescent="0.25">
      <c r="A314" s="19" t="s">
        <v>1721</v>
      </c>
      <c r="B314" s="17" t="s">
        <v>1720</v>
      </c>
      <c r="C314" s="20">
        <v>2</v>
      </c>
      <c r="D314" s="18">
        <v>39.5</v>
      </c>
      <c r="E314" s="20" t="s">
        <v>213</v>
      </c>
      <c r="F314" s="17" t="s">
        <v>63</v>
      </c>
      <c r="G314" s="19" t="s">
        <v>74</v>
      </c>
      <c r="H314" s="18">
        <v>7.4400000000000013</v>
      </c>
      <c r="I314" s="17" t="s">
        <v>56</v>
      </c>
      <c r="J314" s="17" t="s">
        <v>55</v>
      </c>
      <c r="K314" s="17"/>
      <c r="L314" s="17"/>
      <c r="M314" s="16" t="str">
        <f>HYPERLINK("http://slimages.macys.com/is/image/MCY/19179536 ")</f>
        <v xml:space="preserve">http://slimages.macys.com/is/image/MCY/19179536 </v>
      </c>
      <c r="N314" s="30"/>
    </row>
    <row r="315" spans="1:14" ht="60" x14ac:dyDescent="0.25">
      <c r="A315" s="19" t="s">
        <v>4206</v>
      </c>
      <c r="B315" s="17" t="s">
        <v>4205</v>
      </c>
      <c r="C315" s="20">
        <v>1</v>
      </c>
      <c r="D315" s="18">
        <v>39.5</v>
      </c>
      <c r="E315" s="20" t="s">
        <v>2527</v>
      </c>
      <c r="F315" s="17" t="s">
        <v>282</v>
      </c>
      <c r="G315" s="19" t="s">
        <v>197</v>
      </c>
      <c r="H315" s="18">
        <v>7.4400000000000013</v>
      </c>
      <c r="I315" s="17" t="s">
        <v>56</v>
      </c>
      <c r="J315" s="17" t="s">
        <v>55</v>
      </c>
      <c r="K315" s="17"/>
      <c r="L315" s="17"/>
      <c r="M315" s="16" t="str">
        <f>HYPERLINK("http://slimages.macys.com/is/image/MCY/19395119 ")</f>
        <v xml:space="preserve">http://slimages.macys.com/is/image/MCY/19395119 </v>
      </c>
      <c r="N315" s="30"/>
    </row>
    <row r="316" spans="1:14" ht="60" x14ac:dyDescent="0.25">
      <c r="A316" s="19" t="s">
        <v>992</v>
      </c>
      <c r="B316" s="17" t="s">
        <v>991</v>
      </c>
      <c r="C316" s="20">
        <v>1</v>
      </c>
      <c r="D316" s="18">
        <v>39.5</v>
      </c>
      <c r="E316" s="20" t="s">
        <v>213</v>
      </c>
      <c r="F316" s="17" t="s">
        <v>63</v>
      </c>
      <c r="G316" s="19" t="s">
        <v>62</v>
      </c>
      <c r="H316" s="18">
        <v>7.4400000000000013</v>
      </c>
      <c r="I316" s="17" t="s">
        <v>56</v>
      </c>
      <c r="J316" s="17" t="s">
        <v>55</v>
      </c>
      <c r="K316" s="17"/>
      <c r="L316" s="17"/>
      <c r="M316" s="16" t="str">
        <f>HYPERLINK("http://slimages.macys.com/is/image/MCY/19179536 ")</f>
        <v xml:space="preserve">http://slimages.macys.com/is/image/MCY/19179536 </v>
      </c>
      <c r="N316" s="30"/>
    </row>
    <row r="317" spans="1:14" ht="60" x14ac:dyDescent="0.25">
      <c r="A317" s="19" t="s">
        <v>2544</v>
      </c>
      <c r="B317" s="17" t="s">
        <v>2543</v>
      </c>
      <c r="C317" s="20">
        <v>1</v>
      </c>
      <c r="D317" s="18">
        <v>39.5</v>
      </c>
      <c r="E317" s="20" t="s">
        <v>2542</v>
      </c>
      <c r="F317" s="17" t="s">
        <v>58</v>
      </c>
      <c r="G317" s="19" t="s">
        <v>197</v>
      </c>
      <c r="H317" s="18">
        <v>7.4400000000000013</v>
      </c>
      <c r="I317" s="17" t="s">
        <v>56</v>
      </c>
      <c r="J317" s="17" t="s">
        <v>55</v>
      </c>
      <c r="K317" s="17"/>
      <c r="L317" s="17"/>
      <c r="M317" s="16" t="str">
        <f>HYPERLINK("http://slimages.macys.com/is/image/MCY/16688361 ")</f>
        <v xml:space="preserve">http://slimages.macys.com/is/image/MCY/16688361 </v>
      </c>
      <c r="N317" s="30"/>
    </row>
    <row r="318" spans="1:14" ht="60" x14ac:dyDescent="0.25">
      <c r="A318" s="19" t="s">
        <v>4204</v>
      </c>
      <c r="B318" s="17" t="s">
        <v>4203</v>
      </c>
      <c r="C318" s="20">
        <v>1</v>
      </c>
      <c r="D318" s="18">
        <v>39.5</v>
      </c>
      <c r="E318" s="20" t="s">
        <v>4202</v>
      </c>
      <c r="F318" s="17" t="s">
        <v>28</v>
      </c>
      <c r="G318" s="19" t="s">
        <v>74</v>
      </c>
      <c r="H318" s="18">
        <v>7.4400000000000013</v>
      </c>
      <c r="I318" s="17" t="s">
        <v>56</v>
      </c>
      <c r="J318" s="17" t="s">
        <v>55</v>
      </c>
      <c r="K318" s="17"/>
      <c r="L318" s="17"/>
      <c r="M318" s="16" t="str">
        <f>HYPERLINK("http://slimages.macys.com/is/image/MCY/19180840 ")</f>
        <v xml:space="preserve">http://slimages.macys.com/is/image/MCY/19180840 </v>
      </c>
      <c r="N318" s="30"/>
    </row>
    <row r="319" spans="1:14" ht="60" x14ac:dyDescent="0.25">
      <c r="A319" s="19" t="s">
        <v>4201</v>
      </c>
      <c r="B319" s="17" t="s">
        <v>4200</v>
      </c>
      <c r="C319" s="20">
        <v>1</v>
      </c>
      <c r="D319" s="18">
        <v>39.5</v>
      </c>
      <c r="E319" s="20" t="s">
        <v>4194</v>
      </c>
      <c r="F319" s="17" t="s">
        <v>390</v>
      </c>
      <c r="G319" s="19" t="s">
        <v>62</v>
      </c>
      <c r="H319" s="18">
        <v>7.4333333333333336</v>
      </c>
      <c r="I319" s="17" t="s">
        <v>56</v>
      </c>
      <c r="J319" s="17" t="s">
        <v>55</v>
      </c>
      <c r="K319" s="17"/>
      <c r="L319" s="17"/>
      <c r="M319" s="16" t="str">
        <f>HYPERLINK("http://slimages.macys.com/is/image/MCY/19254579 ")</f>
        <v xml:space="preserve">http://slimages.macys.com/is/image/MCY/19254579 </v>
      </c>
      <c r="N319" s="30"/>
    </row>
    <row r="320" spans="1:14" ht="60" x14ac:dyDescent="0.25">
      <c r="A320" s="19" t="s">
        <v>4199</v>
      </c>
      <c r="B320" s="17" t="s">
        <v>4198</v>
      </c>
      <c r="C320" s="20">
        <v>1</v>
      </c>
      <c r="D320" s="18">
        <v>39.5</v>
      </c>
      <c r="E320" s="20" t="s">
        <v>4197</v>
      </c>
      <c r="F320" s="17" t="s">
        <v>63</v>
      </c>
      <c r="G320" s="19" t="s">
        <v>69</v>
      </c>
      <c r="H320" s="18">
        <v>7.4333333333333336</v>
      </c>
      <c r="I320" s="17" t="s">
        <v>56</v>
      </c>
      <c r="J320" s="17" t="s">
        <v>55</v>
      </c>
      <c r="K320" s="17"/>
      <c r="L320" s="17"/>
      <c r="M320" s="16" t="str">
        <f>HYPERLINK("http://slimages.macys.com/is/image/MCY/18941544 ")</f>
        <v xml:space="preserve">http://slimages.macys.com/is/image/MCY/18941544 </v>
      </c>
      <c r="N320" s="30"/>
    </row>
    <row r="321" spans="1:14" ht="60" x14ac:dyDescent="0.25">
      <c r="A321" s="19" t="s">
        <v>4196</v>
      </c>
      <c r="B321" s="17" t="s">
        <v>4195</v>
      </c>
      <c r="C321" s="20">
        <v>1</v>
      </c>
      <c r="D321" s="18">
        <v>39.5</v>
      </c>
      <c r="E321" s="20" t="s">
        <v>4194</v>
      </c>
      <c r="F321" s="17" t="s">
        <v>390</v>
      </c>
      <c r="G321" s="19" t="s">
        <v>62</v>
      </c>
      <c r="H321" s="18">
        <v>7.4333333333333336</v>
      </c>
      <c r="I321" s="17" t="s">
        <v>56</v>
      </c>
      <c r="J321" s="17" t="s">
        <v>55</v>
      </c>
      <c r="K321" s="17"/>
      <c r="L321" s="17"/>
      <c r="M321" s="16" t="str">
        <f>HYPERLINK("http://slimages.macys.com/is/image/MCY/19254579 ")</f>
        <v xml:space="preserve">http://slimages.macys.com/is/image/MCY/19254579 </v>
      </c>
      <c r="N321" s="30"/>
    </row>
    <row r="322" spans="1:14" ht="60" x14ac:dyDescent="0.25">
      <c r="A322" s="19" t="s">
        <v>2521</v>
      </c>
      <c r="B322" s="17" t="s">
        <v>2520</v>
      </c>
      <c r="C322" s="20">
        <v>1</v>
      </c>
      <c r="D322" s="18">
        <v>49</v>
      </c>
      <c r="E322" s="20">
        <v>2331616</v>
      </c>
      <c r="F322" s="17" t="s">
        <v>2284</v>
      </c>
      <c r="G322" s="19" t="s">
        <v>101</v>
      </c>
      <c r="H322" s="18">
        <v>7.4000000000000012</v>
      </c>
      <c r="I322" s="17" t="s">
        <v>80</v>
      </c>
      <c r="J322" s="17" t="s">
        <v>293</v>
      </c>
      <c r="K322" s="17"/>
      <c r="L322" s="17"/>
      <c r="M322" s="16" t="str">
        <f>HYPERLINK("http://slimages.macys.com/is/image/MCY/19455300 ")</f>
        <v xml:space="preserve">http://slimages.macys.com/is/image/MCY/19455300 </v>
      </c>
      <c r="N322" s="30"/>
    </row>
    <row r="323" spans="1:14" ht="60" x14ac:dyDescent="0.25">
      <c r="A323" s="19" t="s">
        <v>4193</v>
      </c>
      <c r="B323" s="17" t="s">
        <v>4192</v>
      </c>
      <c r="C323" s="20">
        <v>1</v>
      </c>
      <c r="D323" s="18">
        <v>42</v>
      </c>
      <c r="E323" s="20" t="s">
        <v>3293</v>
      </c>
      <c r="F323" s="17" t="s">
        <v>51</v>
      </c>
      <c r="G323" s="19" t="s">
        <v>197</v>
      </c>
      <c r="H323" s="18">
        <v>7.3666666666666671</v>
      </c>
      <c r="I323" s="17" t="s">
        <v>80</v>
      </c>
      <c r="J323" s="17" t="s">
        <v>79</v>
      </c>
      <c r="K323" s="17" t="s">
        <v>637</v>
      </c>
      <c r="L323" s="17" t="s">
        <v>3495</v>
      </c>
      <c r="M323" s="16" t="str">
        <f>HYPERLINK("http://images.bloomingdales.com/is/image/BLM/11310417 ")</f>
        <v xml:space="preserve">http://images.bloomingdales.com/is/image/BLM/11310417 </v>
      </c>
      <c r="N323" s="30"/>
    </row>
    <row r="324" spans="1:14" ht="60" x14ac:dyDescent="0.25">
      <c r="A324" s="19" t="s">
        <v>4191</v>
      </c>
      <c r="B324" s="17" t="s">
        <v>4190</v>
      </c>
      <c r="C324" s="20">
        <v>1</v>
      </c>
      <c r="D324" s="18">
        <v>42</v>
      </c>
      <c r="E324" s="20" t="s">
        <v>3293</v>
      </c>
      <c r="F324" s="17" t="s">
        <v>51</v>
      </c>
      <c r="G324" s="19" t="s">
        <v>74</v>
      </c>
      <c r="H324" s="18">
        <v>7.3666666666666671</v>
      </c>
      <c r="I324" s="17" t="s">
        <v>80</v>
      </c>
      <c r="J324" s="17" t="s">
        <v>79</v>
      </c>
      <c r="K324" s="17" t="s">
        <v>637</v>
      </c>
      <c r="L324" s="17" t="s">
        <v>3495</v>
      </c>
      <c r="M324" s="16" t="str">
        <f>HYPERLINK("http://images.bloomingdales.com/is/image/BLM/11310417 ")</f>
        <v xml:space="preserve">http://images.bloomingdales.com/is/image/BLM/11310417 </v>
      </c>
      <c r="N324" s="30"/>
    </row>
    <row r="325" spans="1:14" ht="60" x14ac:dyDescent="0.25">
      <c r="A325" s="19" t="s">
        <v>4189</v>
      </c>
      <c r="B325" s="17" t="s">
        <v>4188</v>
      </c>
      <c r="C325" s="20">
        <v>1</v>
      </c>
      <c r="D325" s="18">
        <v>49.5</v>
      </c>
      <c r="E325" s="20" t="s">
        <v>4187</v>
      </c>
      <c r="F325" s="17" t="s">
        <v>544</v>
      </c>
      <c r="G325" s="19" t="s">
        <v>271</v>
      </c>
      <c r="H325" s="18">
        <v>7.2400000000000011</v>
      </c>
      <c r="I325" s="17" t="s">
        <v>267</v>
      </c>
      <c r="J325" s="17" t="s">
        <v>32</v>
      </c>
      <c r="K325" s="17"/>
      <c r="L325" s="17"/>
      <c r="M325" s="16" t="str">
        <f>HYPERLINK("http://slimages.macys.com/is/image/MCY/18747789 ")</f>
        <v xml:space="preserve">http://slimages.macys.com/is/image/MCY/18747789 </v>
      </c>
      <c r="N325" s="30"/>
    </row>
    <row r="326" spans="1:14" ht="60" x14ac:dyDescent="0.25">
      <c r="A326" s="19" t="s">
        <v>988</v>
      </c>
      <c r="B326" s="17" t="s">
        <v>987</v>
      </c>
      <c r="C326" s="20">
        <v>11</v>
      </c>
      <c r="D326" s="18">
        <v>27.3</v>
      </c>
      <c r="E326" s="20" t="s">
        <v>191</v>
      </c>
      <c r="F326" s="17" t="s">
        <v>28</v>
      </c>
      <c r="G326" s="19" t="s">
        <v>57</v>
      </c>
      <c r="H326" s="18">
        <v>7.120000000000001</v>
      </c>
      <c r="I326" s="17" t="s">
        <v>42</v>
      </c>
      <c r="J326" s="17" t="s">
        <v>41</v>
      </c>
      <c r="K326" s="17"/>
      <c r="L326" s="17"/>
      <c r="M326" s="16" t="str">
        <f>HYPERLINK("http://slimages.macys.com/is/image/MCY/18757221 ")</f>
        <v xml:space="preserve">http://slimages.macys.com/is/image/MCY/18757221 </v>
      </c>
      <c r="N326" s="30"/>
    </row>
    <row r="327" spans="1:14" ht="60" x14ac:dyDescent="0.25">
      <c r="A327" s="19" t="s">
        <v>4186</v>
      </c>
      <c r="B327" s="17" t="s">
        <v>4185</v>
      </c>
      <c r="C327" s="20">
        <v>14</v>
      </c>
      <c r="D327" s="18">
        <v>27.3</v>
      </c>
      <c r="E327" s="20" t="s">
        <v>191</v>
      </c>
      <c r="F327" s="17" t="s">
        <v>28</v>
      </c>
      <c r="G327" s="19" t="s">
        <v>197</v>
      </c>
      <c r="H327" s="18">
        <v>7.120000000000001</v>
      </c>
      <c r="I327" s="17" t="s">
        <v>42</v>
      </c>
      <c r="J327" s="17" t="s">
        <v>41</v>
      </c>
      <c r="K327" s="17"/>
      <c r="L327" s="17"/>
      <c r="M327" s="16" t="str">
        <f>HYPERLINK("http://slimages.macys.com/is/image/MCY/18757221 ")</f>
        <v xml:space="preserve">http://slimages.macys.com/is/image/MCY/18757221 </v>
      </c>
      <c r="N327" s="30"/>
    </row>
    <row r="328" spans="1:14" ht="60" x14ac:dyDescent="0.25">
      <c r="A328" s="19" t="s">
        <v>3284</v>
      </c>
      <c r="B328" s="17" t="s">
        <v>3283</v>
      </c>
      <c r="C328" s="20">
        <v>3</v>
      </c>
      <c r="D328" s="18">
        <v>28</v>
      </c>
      <c r="E328" s="20" t="s">
        <v>3282</v>
      </c>
      <c r="F328" s="17" t="s">
        <v>23</v>
      </c>
      <c r="G328" s="19" t="s">
        <v>197</v>
      </c>
      <c r="H328" s="18">
        <v>6.5333333333333332</v>
      </c>
      <c r="I328" s="17" t="s">
        <v>80</v>
      </c>
      <c r="J328" s="17" t="s">
        <v>79</v>
      </c>
      <c r="K328" s="17"/>
      <c r="L328" s="17"/>
      <c r="M328" s="16" t="str">
        <f>HYPERLINK("http://slimages.macys.com/is/image/MCY/18593745 ")</f>
        <v xml:space="preserve">http://slimages.macys.com/is/image/MCY/18593745 </v>
      </c>
      <c r="N328" s="30"/>
    </row>
    <row r="329" spans="1:14" ht="60" x14ac:dyDescent="0.25">
      <c r="A329" s="19" t="s">
        <v>3286</v>
      </c>
      <c r="B329" s="17" t="s">
        <v>3285</v>
      </c>
      <c r="C329" s="20">
        <v>4</v>
      </c>
      <c r="D329" s="18">
        <v>28</v>
      </c>
      <c r="E329" s="20" t="s">
        <v>3282</v>
      </c>
      <c r="F329" s="17" t="s">
        <v>23</v>
      </c>
      <c r="G329" s="19" t="s">
        <v>62</v>
      </c>
      <c r="H329" s="18">
        <v>6.5333333333333332</v>
      </c>
      <c r="I329" s="17" t="s">
        <v>80</v>
      </c>
      <c r="J329" s="17" t="s">
        <v>79</v>
      </c>
      <c r="K329" s="17"/>
      <c r="L329" s="17"/>
      <c r="M329" s="16" t="str">
        <f>HYPERLINK("http://slimages.macys.com/is/image/MCY/18593745 ")</f>
        <v xml:space="preserve">http://slimages.macys.com/is/image/MCY/18593745 </v>
      </c>
      <c r="N329" s="30"/>
    </row>
    <row r="330" spans="1:14" ht="60" x14ac:dyDescent="0.25">
      <c r="A330" s="19" t="s">
        <v>4184</v>
      </c>
      <c r="B330" s="17" t="s">
        <v>4183</v>
      </c>
      <c r="C330" s="20">
        <v>1</v>
      </c>
      <c r="D330" s="18">
        <v>48</v>
      </c>
      <c r="E330" s="20">
        <v>30107307</v>
      </c>
      <c r="F330" s="17" t="s">
        <v>51</v>
      </c>
      <c r="G330" s="19" t="s">
        <v>658</v>
      </c>
      <c r="H330" s="18">
        <v>6.4</v>
      </c>
      <c r="I330" s="17" t="s">
        <v>1777</v>
      </c>
      <c r="J330" s="17" t="s">
        <v>1776</v>
      </c>
      <c r="K330" s="17"/>
      <c r="L330" s="17"/>
      <c r="M330" s="16" t="str">
        <f>HYPERLINK("http://slimages.macys.com/is/image/MCY/17465645 ")</f>
        <v xml:space="preserve">http://slimages.macys.com/is/image/MCY/17465645 </v>
      </c>
      <c r="N330" s="30"/>
    </row>
    <row r="331" spans="1:14" ht="60" x14ac:dyDescent="0.25">
      <c r="A331" s="19" t="s">
        <v>4182</v>
      </c>
      <c r="B331" s="17" t="s">
        <v>4181</v>
      </c>
      <c r="C331" s="20">
        <v>1</v>
      </c>
      <c r="D331" s="18">
        <v>34</v>
      </c>
      <c r="E331" s="20" t="s">
        <v>4180</v>
      </c>
      <c r="F331" s="17" t="s">
        <v>345</v>
      </c>
      <c r="G331" s="19" t="s">
        <v>62</v>
      </c>
      <c r="H331" s="18">
        <v>6.3466666666666667</v>
      </c>
      <c r="I331" s="17" t="s">
        <v>80</v>
      </c>
      <c r="J331" s="17" t="s">
        <v>183</v>
      </c>
      <c r="K331" s="17"/>
      <c r="L331" s="17"/>
      <c r="M331" s="16" t="str">
        <f>HYPERLINK("http://slimages.macys.com/is/image/MCY/19062021 ")</f>
        <v xml:space="preserve">http://slimages.macys.com/is/image/MCY/19062021 </v>
      </c>
      <c r="N331" s="30"/>
    </row>
    <row r="332" spans="1:14" ht="60" x14ac:dyDescent="0.25">
      <c r="A332" s="19" t="s">
        <v>3276</v>
      </c>
      <c r="B332" s="17" t="s">
        <v>3275</v>
      </c>
      <c r="C332" s="20">
        <v>1</v>
      </c>
      <c r="D332" s="18">
        <v>25</v>
      </c>
      <c r="E332" s="20" t="s">
        <v>2469</v>
      </c>
      <c r="F332" s="17" t="s">
        <v>149</v>
      </c>
      <c r="G332" s="19" t="s">
        <v>17</v>
      </c>
      <c r="H332" s="18">
        <v>5.8533333333333335</v>
      </c>
      <c r="I332" s="17" t="s">
        <v>16</v>
      </c>
      <c r="J332" s="17" t="s">
        <v>15</v>
      </c>
      <c r="K332" s="17"/>
      <c r="L332" s="17"/>
      <c r="M332" s="16" t="str">
        <f>HYPERLINK("http://slimages.macys.com/is/image/MCY/19544562 ")</f>
        <v xml:space="preserve">http://slimages.macys.com/is/image/MCY/19544562 </v>
      </c>
      <c r="N332" s="30"/>
    </row>
    <row r="333" spans="1:14" ht="60" x14ac:dyDescent="0.25">
      <c r="A333" s="19" t="s">
        <v>972</v>
      </c>
      <c r="B333" s="17" t="s">
        <v>971</v>
      </c>
      <c r="C333" s="20">
        <v>1</v>
      </c>
      <c r="D333" s="18">
        <v>25</v>
      </c>
      <c r="E333" s="20" t="s">
        <v>968</v>
      </c>
      <c r="F333" s="17" t="s">
        <v>508</v>
      </c>
      <c r="G333" s="19" t="s">
        <v>22</v>
      </c>
      <c r="H333" s="18">
        <v>5.8533333333333335</v>
      </c>
      <c r="I333" s="17" t="s">
        <v>16</v>
      </c>
      <c r="J333" s="17" t="s">
        <v>15</v>
      </c>
      <c r="K333" s="17"/>
      <c r="L333" s="17"/>
      <c r="M333" s="16" t="str">
        <f>HYPERLINK("http://slimages.macys.com/is/image/MCY/18863498 ")</f>
        <v xml:space="preserve">http://slimages.macys.com/is/image/MCY/18863498 </v>
      </c>
      <c r="N333" s="30"/>
    </row>
    <row r="334" spans="1:14" ht="60" x14ac:dyDescent="0.25">
      <c r="A334" s="19" t="s">
        <v>4179</v>
      </c>
      <c r="B334" s="17" t="s">
        <v>4178</v>
      </c>
      <c r="C334" s="20">
        <v>1</v>
      </c>
      <c r="D334" s="18">
        <v>25</v>
      </c>
      <c r="E334" s="20" t="s">
        <v>965</v>
      </c>
      <c r="F334" s="17" t="s">
        <v>23</v>
      </c>
      <c r="G334" s="19" t="s">
        <v>17</v>
      </c>
      <c r="H334" s="18">
        <v>5.8533333333333335</v>
      </c>
      <c r="I334" s="17" t="s">
        <v>16</v>
      </c>
      <c r="J334" s="17" t="s">
        <v>15</v>
      </c>
      <c r="K334" s="17"/>
      <c r="L334" s="17"/>
      <c r="M334" s="16" t="str">
        <f>HYPERLINK("http://slimages.macys.com/is/image/MCY/19419444 ")</f>
        <v xml:space="preserve">http://slimages.macys.com/is/image/MCY/19419444 </v>
      </c>
      <c r="N334" s="30"/>
    </row>
    <row r="335" spans="1:14" ht="60" x14ac:dyDescent="0.25">
      <c r="A335" s="19" t="s">
        <v>4177</v>
      </c>
      <c r="B335" s="17" t="s">
        <v>4176</v>
      </c>
      <c r="C335" s="20">
        <v>1</v>
      </c>
      <c r="D335" s="18">
        <v>25</v>
      </c>
      <c r="E335" s="20" t="s">
        <v>2469</v>
      </c>
      <c r="F335" s="17" t="s">
        <v>578</v>
      </c>
      <c r="G335" s="19" t="s">
        <v>50</v>
      </c>
      <c r="H335" s="18">
        <v>5.8533333333333335</v>
      </c>
      <c r="I335" s="17" t="s">
        <v>16</v>
      </c>
      <c r="J335" s="17" t="s">
        <v>15</v>
      </c>
      <c r="K335" s="17"/>
      <c r="L335" s="17"/>
      <c r="M335" s="16" t="str">
        <f>HYPERLINK("http://slimages.macys.com/is/image/MCY/19544562 ")</f>
        <v xml:space="preserve">http://slimages.macys.com/is/image/MCY/19544562 </v>
      </c>
      <c r="N335" s="30"/>
    </row>
    <row r="336" spans="1:14" ht="60" x14ac:dyDescent="0.25">
      <c r="A336" s="19" t="s">
        <v>4175</v>
      </c>
      <c r="B336" s="17" t="s">
        <v>4174</v>
      </c>
      <c r="C336" s="20">
        <v>1</v>
      </c>
      <c r="D336" s="18">
        <v>27.3</v>
      </c>
      <c r="E336" s="20" t="s">
        <v>4173</v>
      </c>
      <c r="F336" s="17" t="s">
        <v>562</v>
      </c>
      <c r="G336" s="19" t="s">
        <v>74</v>
      </c>
      <c r="H336" s="18">
        <v>5.8</v>
      </c>
      <c r="I336" s="17" t="s">
        <v>42</v>
      </c>
      <c r="J336" s="17" t="s">
        <v>41</v>
      </c>
      <c r="K336" s="17"/>
      <c r="L336" s="17"/>
      <c r="M336" s="16" t="str">
        <f>HYPERLINK("http://slimages.macys.com/is/image/MCY/18916882 ")</f>
        <v xml:space="preserve">http://slimages.macys.com/is/image/MCY/18916882 </v>
      </c>
      <c r="N336" s="30"/>
    </row>
    <row r="337" spans="1:14" ht="60" x14ac:dyDescent="0.25">
      <c r="A337" s="19" t="s">
        <v>4172</v>
      </c>
      <c r="B337" s="17" t="s">
        <v>4171</v>
      </c>
      <c r="C337" s="20">
        <v>1</v>
      </c>
      <c r="D337" s="18">
        <v>34.5</v>
      </c>
      <c r="E337" s="20" t="s">
        <v>4170</v>
      </c>
      <c r="F337" s="17" t="s">
        <v>508</v>
      </c>
      <c r="G337" s="19" t="s">
        <v>271</v>
      </c>
      <c r="H337" s="18">
        <v>5.7333333333333334</v>
      </c>
      <c r="I337" s="17" t="s">
        <v>1891</v>
      </c>
      <c r="J337" s="17" t="s">
        <v>67</v>
      </c>
      <c r="K337" s="17"/>
      <c r="L337" s="17"/>
      <c r="M337" s="16" t="str">
        <f>HYPERLINK("http://slimages.macys.com/is/image/MCY/10321748 ")</f>
        <v xml:space="preserve">http://slimages.macys.com/is/image/MCY/10321748 </v>
      </c>
      <c r="N337" s="30"/>
    </row>
    <row r="338" spans="1:14" ht="60" x14ac:dyDescent="0.25">
      <c r="A338" s="19" t="s">
        <v>4169</v>
      </c>
      <c r="B338" s="17" t="s">
        <v>4168</v>
      </c>
      <c r="C338" s="20">
        <v>1</v>
      </c>
      <c r="D338" s="18">
        <v>24.5</v>
      </c>
      <c r="E338" s="20" t="s">
        <v>1694</v>
      </c>
      <c r="F338" s="17" t="s">
        <v>28</v>
      </c>
      <c r="G338" s="19" t="s">
        <v>57</v>
      </c>
      <c r="H338" s="18">
        <v>5.7333333333333334</v>
      </c>
      <c r="I338" s="17" t="s">
        <v>68</v>
      </c>
      <c r="J338" s="17" t="s">
        <v>67</v>
      </c>
      <c r="K338" s="17" t="s">
        <v>389</v>
      </c>
      <c r="L338" s="17" t="s">
        <v>3264</v>
      </c>
      <c r="M338" s="16" t="str">
        <f>HYPERLINK("http://slimages.macys.com/is/image/MCY/8286549 ")</f>
        <v xml:space="preserve">http://slimages.macys.com/is/image/MCY/8286549 </v>
      </c>
      <c r="N338" s="30"/>
    </row>
    <row r="339" spans="1:14" ht="60" x14ac:dyDescent="0.25">
      <c r="A339" s="19" t="s">
        <v>4167</v>
      </c>
      <c r="B339" s="17" t="s">
        <v>4166</v>
      </c>
      <c r="C339" s="20">
        <v>1</v>
      </c>
      <c r="D339" s="18">
        <v>39</v>
      </c>
      <c r="E339" s="20">
        <v>2351624</v>
      </c>
      <c r="F339" s="17" t="s">
        <v>91</v>
      </c>
      <c r="G339" s="19" t="s">
        <v>22</v>
      </c>
      <c r="H339" s="18">
        <v>5.72</v>
      </c>
      <c r="I339" s="17" t="s">
        <v>80</v>
      </c>
      <c r="J339" s="17" t="s">
        <v>293</v>
      </c>
      <c r="K339" s="17"/>
      <c r="L339" s="17"/>
      <c r="M339" s="16" t="str">
        <f>HYPERLINK("http://slimages.macys.com/is/image/MCY/19684057 ")</f>
        <v xml:space="preserve">http://slimages.macys.com/is/image/MCY/19684057 </v>
      </c>
      <c r="N339" s="30"/>
    </row>
    <row r="340" spans="1:14" ht="60" x14ac:dyDescent="0.25">
      <c r="A340" s="19" t="s">
        <v>4165</v>
      </c>
      <c r="B340" s="17" t="s">
        <v>4164</v>
      </c>
      <c r="C340" s="20">
        <v>1</v>
      </c>
      <c r="D340" s="18">
        <v>39</v>
      </c>
      <c r="E340" s="20">
        <v>2351624</v>
      </c>
      <c r="F340" s="17" t="s">
        <v>91</v>
      </c>
      <c r="G340" s="19" t="s">
        <v>17</v>
      </c>
      <c r="H340" s="18">
        <v>5.72</v>
      </c>
      <c r="I340" s="17" t="s">
        <v>80</v>
      </c>
      <c r="J340" s="17" t="s">
        <v>293</v>
      </c>
      <c r="K340" s="17"/>
      <c r="L340" s="17"/>
      <c r="M340" s="16" t="str">
        <f>HYPERLINK("http://slimages.macys.com/is/image/MCY/19684057 ")</f>
        <v xml:space="preserve">http://slimages.macys.com/is/image/MCY/19684057 </v>
      </c>
      <c r="N340" s="30"/>
    </row>
    <row r="341" spans="1:14" ht="60" x14ac:dyDescent="0.25">
      <c r="A341" s="19" t="s">
        <v>4163</v>
      </c>
      <c r="B341" s="17" t="s">
        <v>4162</v>
      </c>
      <c r="C341" s="20">
        <v>1</v>
      </c>
      <c r="D341" s="18">
        <v>34</v>
      </c>
      <c r="E341" s="20" t="s">
        <v>4161</v>
      </c>
      <c r="F341" s="17" t="s">
        <v>508</v>
      </c>
      <c r="G341" s="19" t="s">
        <v>62</v>
      </c>
      <c r="H341" s="18">
        <v>5.0666666666666673</v>
      </c>
      <c r="I341" s="17" t="s">
        <v>1700</v>
      </c>
      <c r="J341" s="17" t="s">
        <v>1699</v>
      </c>
      <c r="K341" s="17"/>
      <c r="L341" s="17"/>
      <c r="M341" s="16" t="str">
        <f>HYPERLINK("http://slimages.macys.com/is/image/MCY/18863879 ")</f>
        <v xml:space="preserve">http://slimages.macys.com/is/image/MCY/18863879 </v>
      </c>
      <c r="N341" s="30"/>
    </row>
    <row r="342" spans="1:14" ht="60" x14ac:dyDescent="0.25">
      <c r="A342" s="19" t="s">
        <v>4160</v>
      </c>
      <c r="B342" s="17" t="s">
        <v>4159</v>
      </c>
      <c r="C342" s="20">
        <v>1</v>
      </c>
      <c r="D342" s="18">
        <v>20</v>
      </c>
      <c r="E342" s="20" t="s">
        <v>2459</v>
      </c>
      <c r="F342" s="17" t="s">
        <v>51</v>
      </c>
      <c r="G342" s="19" t="s">
        <v>17</v>
      </c>
      <c r="H342" s="18">
        <v>4.9533333333333331</v>
      </c>
      <c r="I342" s="17" t="s">
        <v>16</v>
      </c>
      <c r="J342" s="17" t="s">
        <v>15</v>
      </c>
      <c r="K342" s="17"/>
      <c r="L342" s="17"/>
      <c r="M342" s="16" t="str">
        <f>HYPERLINK("http://slimages.macys.com/is/image/MCY/19147497 ")</f>
        <v xml:space="preserve">http://slimages.macys.com/is/image/MCY/19147497 </v>
      </c>
      <c r="N342" s="30"/>
    </row>
    <row r="343" spans="1:14" ht="60" x14ac:dyDescent="0.25">
      <c r="A343" s="19" t="s">
        <v>4158</v>
      </c>
      <c r="B343" s="17" t="s">
        <v>4157</v>
      </c>
      <c r="C343" s="20">
        <v>1</v>
      </c>
      <c r="D343" s="18">
        <v>20</v>
      </c>
      <c r="E343" s="20" t="s">
        <v>2459</v>
      </c>
      <c r="F343" s="17" t="s">
        <v>85</v>
      </c>
      <c r="G343" s="19" t="s">
        <v>22</v>
      </c>
      <c r="H343" s="18">
        <v>4.9533333333333331</v>
      </c>
      <c r="I343" s="17" t="s">
        <v>16</v>
      </c>
      <c r="J343" s="17" t="s">
        <v>15</v>
      </c>
      <c r="K343" s="17"/>
      <c r="L343" s="17"/>
      <c r="M343" s="16" t="str">
        <f>HYPERLINK("http://slimages.macys.com/is/image/MCY/19147505 ")</f>
        <v xml:space="preserve">http://slimages.macys.com/is/image/MCY/19147505 </v>
      </c>
      <c r="N343" s="30"/>
    </row>
    <row r="344" spans="1:14" ht="60" x14ac:dyDescent="0.25">
      <c r="A344" s="19" t="s">
        <v>4156</v>
      </c>
      <c r="B344" s="17" t="s">
        <v>4155</v>
      </c>
      <c r="C344" s="20">
        <v>1</v>
      </c>
      <c r="D344" s="18">
        <v>20</v>
      </c>
      <c r="E344" s="20" t="s">
        <v>3239</v>
      </c>
      <c r="F344" s="17" t="s">
        <v>149</v>
      </c>
      <c r="G344" s="19" t="s">
        <v>62</v>
      </c>
      <c r="H344" s="18">
        <v>4.9466666666666672</v>
      </c>
      <c r="I344" s="17" t="s">
        <v>16</v>
      </c>
      <c r="J344" s="17" t="s">
        <v>15</v>
      </c>
      <c r="K344" s="17"/>
      <c r="L344" s="17"/>
      <c r="M344" s="16" t="str">
        <f>HYPERLINK("http://slimages.macys.com/is/image/MCY/18946626 ")</f>
        <v xml:space="preserve">http://slimages.macys.com/is/image/MCY/18946626 </v>
      </c>
      <c r="N344" s="30"/>
    </row>
    <row r="345" spans="1:14" ht="60" x14ac:dyDescent="0.25">
      <c r="A345" s="19" t="s">
        <v>4154</v>
      </c>
      <c r="B345" s="17" t="s">
        <v>4153</v>
      </c>
      <c r="C345" s="20">
        <v>1</v>
      </c>
      <c r="D345" s="18">
        <v>26</v>
      </c>
      <c r="E345" s="20" t="s">
        <v>4152</v>
      </c>
      <c r="F345" s="17" t="s">
        <v>35</v>
      </c>
      <c r="G345" s="19" t="s">
        <v>197</v>
      </c>
      <c r="H345" s="18">
        <v>4.8533333333333335</v>
      </c>
      <c r="I345" s="17" t="s">
        <v>80</v>
      </c>
      <c r="J345" s="17" t="s">
        <v>183</v>
      </c>
      <c r="K345" s="17"/>
      <c r="L345" s="17"/>
      <c r="M345" s="16" t="str">
        <f>HYPERLINK("http://slimages.macys.com/is/image/MCY/19305506 ")</f>
        <v xml:space="preserve">http://slimages.macys.com/is/image/MCY/19305506 </v>
      </c>
      <c r="N345" s="30"/>
    </row>
    <row r="346" spans="1:14" ht="60" x14ac:dyDescent="0.25">
      <c r="A346" s="19" t="s">
        <v>4151</v>
      </c>
      <c r="B346" s="17" t="s">
        <v>4150</v>
      </c>
      <c r="C346" s="20">
        <v>1</v>
      </c>
      <c r="D346" s="18">
        <v>25</v>
      </c>
      <c r="E346" s="20" t="s">
        <v>165</v>
      </c>
      <c r="F346" s="17" t="s">
        <v>558</v>
      </c>
      <c r="G346" s="19" t="s">
        <v>62</v>
      </c>
      <c r="H346" s="18">
        <v>3.82</v>
      </c>
      <c r="I346" s="17" t="s">
        <v>16</v>
      </c>
      <c r="J346" s="17" t="s">
        <v>15</v>
      </c>
      <c r="K346" s="17"/>
      <c r="L346" s="17"/>
      <c r="M346" s="16" t="str">
        <f>HYPERLINK("http://slimages.macys.com/is/image/MCY/19146922 ")</f>
        <v xml:space="preserve">http://slimages.macys.com/is/image/MCY/19146922 </v>
      </c>
      <c r="N346" s="30"/>
    </row>
    <row r="347" spans="1:14" ht="48" x14ac:dyDescent="0.25">
      <c r="A347" s="19" t="s">
        <v>1684</v>
      </c>
      <c r="B347" s="17" t="s">
        <v>1683</v>
      </c>
      <c r="C347" s="20">
        <v>1</v>
      </c>
      <c r="D347" s="18">
        <v>249</v>
      </c>
      <c r="E347" s="20" t="s">
        <v>1682</v>
      </c>
      <c r="F347" s="17" t="s">
        <v>575</v>
      </c>
      <c r="G347" s="19" t="s">
        <v>682</v>
      </c>
      <c r="H347" s="18">
        <v>51.46</v>
      </c>
      <c r="I347" s="17" t="s">
        <v>854</v>
      </c>
      <c r="J347" s="17" t="s">
        <v>496</v>
      </c>
      <c r="K347" s="17"/>
      <c r="L347" s="17"/>
      <c r="M347" s="16"/>
      <c r="N347" s="30"/>
    </row>
    <row r="348" spans="1:14" ht="36" x14ac:dyDescent="0.25">
      <c r="A348" s="19" t="s">
        <v>4149</v>
      </c>
      <c r="B348" s="17" t="s">
        <v>4146</v>
      </c>
      <c r="C348" s="20">
        <v>2</v>
      </c>
      <c r="D348" s="18">
        <v>138</v>
      </c>
      <c r="E348" s="20" t="s">
        <v>4145</v>
      </c>
      <c r="F348" s="17"/>
      <c r="G348" s="19" t="s">
        <v>62</v>
      </c>
      <c r="H348" s="18">
        <v>32.200000000000003</v>
      </c>
      <c r="I348" s="17" t="s">
        <v>133</v>
      </c>
      <c r="J348" s="17" t="s">
        <v>132</v>
      </c>
      <c r="K348" s="17"/>
      <c r="L348" s="17"/>
      <c r="M348" s="16"/>
      <c r="N348" s="30"/>
    </row>
    <row r="349" spans="1:14" ht="36" x14ac:dyDescent="0.25">
      <c r="A349" s="19" t="s">
        <v>4148</v>
      </c>
      <c r="B349" s="17" t="s">
        <v>4146</v>
      </c>
      <c r="C349" s="20">
        <v>3</v>
      </c>
      <c r="D349" s="18">
        <v>138</v>
      </c>
      <c r="E349" s="20" t="s">
        <v>4145</v>
      </c>
      <c r="F349" s="17"/>
      <c r="G349" s="19" t="s">
        <v>69</v>
      </c>
      <c r="H349" s="18">
        <v>32.200000000000003</v>
      </c>
      <c r="I349" s="17" t="s">
        <v>133</v>
      </c>
      <c r="J349" s="17" t="s">
        <v>132</v>
      </c>
      <c r="K349" s="17"/>
      <c r="L349" s="17"/>
      <c r="M349" s="16"/>
      <c r="N349" s="30"/>
    </row>
    <row r="350" spans="1:14" ht="36" x14ac:dyDescent="0.25">
      <c r="A350" s="19" t="s">
        <v>4147</v>
      </c>
      <c r="B350" s="17" t="s">
        <v>4146</v>
      </c>
      <c r="C350" s="20">
        <v>3</v>
      </c>
      <c r="D350" s="18">
        <v>138</v>
      </c>
      <c r="E350" s="20" t="s">
        <v>4145</v>
      </c>
      <c r="F350" s="17"/>
      <c r="G350" s="19" t="s">
        <v>74</v>
      </c>
      <c r="H350" s="18">
        <v>32.200000000000003</v>
      </c>
      <c r="I350" s="17" t="s">
        <v>133</v>
      </c>
      <c r="J350" s="17" t="s">
        <v>132</v>
      </c>
      <c r="K350" s="17"/>
      <c r="L350" s="17"/>
      <c r="M350" s="16"/>
      <c r="N350" s="30"/>
    </row>
    <row r="351" spans="1:14" ht="48" x14ac:dyDescent="0.25">
      <c r="A351" s="19" t="s">
        <v>889</v>
      </c>
      <c r="B351" s="17" t="s">
        <v>888</v>
      </c>
      <c r="C351" s="20">
        <v>1</v>
      </c>
      <c r="D351" s="18">
        <v>89.99</v>
      </c>
      <c r="E351" s="20">
        <v>50039919</v>
      </c>
      <c r="F351" s="17" t="s">
        <v>282</v>
      </c>
      <c r="G351" s="19" t="s">
        <v>773</v>
      </c>
      <c r="H351" s="18">
        <v>26.666666666666668</v>
      </c>
      <c r="I351" s="17" t="s">
        <v>854</v>
      </c>
      <c r="J351" s="17" t="s">
        <v>850</v>
      </c>
      <c r="K351" s="17"/>
      <c r="L351" s="17"/>
      <c r="M351" s="16"/>
      <c r="N351" s="30"/>
    </row>
    <row r="352" spans="1:14" ht="48" x14ac:dyDescent="0.25">
      <c r="A352" s="19" t="s">
        <v>4144</v>
      </c>
      <c r="B352" s="17" t="s">
        <v>4143</v>
      </c>
      <c r="C352" s="20">
        <v>1</v>
      </c>
      <c r="D352" s="18">
        <v>79.989999999999995</v>
      </c>
      <c r="E352" s="20">
        <v>50039427</v>
      </c>
      <c r="F352" s="17" t="s">
        <v>726</v>
      </c>
      <c r="G352" s="19" t="s">
        <v>658</v>
      </c>
      <c r="H352" s="18">
        <v>23.333333333333336</v>
      </c>
      <c r="I352" s="17" t="s">
        <v>854</v>
      </c>
      <c r="J352" s="17" t="s">
        <v>850</v>
      </c>
      <c r="K352" s="17"/>
      <c r="L352" s="17"/>
      <c r="M352" s="16"/>
      <c r="N352" s="30"/>
    </row>
    <row r="353" spans="1:14" ht="36" x14ac:dyDescent="0.25">
      <c r="A353" s="19" t="s">
        <v>849</v>
      </c>
      <c r="B353" s="17" t="s">
        <v>846</v>
      </c>
      <c r="C353" s="20">
        <v>7</v>
      </c>
      <c r="D353" s="18">
        <v>98</v>
      </c>
      <c r="E353" s="20" t="s">
        <v>845</v>
      </c>
      <c r="F353" s="17" t="s">
        <v>23</v>
      </c>
      <c r="G353" s="19" t="s">
        <v>69</v>
      </c>
      <c r="H353" s="18">
        <v>22.666666666666668</v>
      </c>
      <c r="I353" s="17" t="s">
        <v>133</v>
      </c>
      <c r="J353" s="17" t="s">
        <v>833</v>
      </c>
      <c r="K353" s="17"/>
      <c r="L353" s="17"/>
      <c r="M353" s="16"/>
      <c r="N353" s="30"/>
    </row>
    <row r="354" spans="1:14" ht="36" x14ac:dyDescent="0.25">
      <c r="A354" s="19" t="s">
        <v>843</v>
      </c>
      <c r="B354" s="17" t="s">
        <v>840</v>
      </c>
      <c r="C354" s="20">
        <v>3</v>
      </c>
      <c r="D354" s="18">
        <v>88</v>
      </c>
      <c r="E354" s="20" t="s">
        <v>839</v>
      </c>
      <c r="F354" s="17" t="s">
        <v>23</v>
      </c>
      <c r="G354" s="19" t="s">
        <v>74</v>
      </c>
      <c r="H354" s="18">
        <v>20.666666666666668</v>
      </c>
      <c r="I354" s="17" t="s">
        <v>133</v>
      </c>
      <c r="J354" s="17" t="s">
        <v>833</v>
      </c>
      <c r="K354" s="17"/>
      <c r="L354" s="17"/>
      <c r="M354" s="16"/>
      <c r="N354" s="30"/>
    </row>
    <row r="355" spans="1:14" ht="36" x14ac:dyDescent="0.25">
      <c r="A355" s="19" t="s">
        <v>844</v>
      </c>
      <c r="B355" s="17" t="s">
        <v>840</v>
      </c>
      <c r="C355" s="20">
        <v>1</v>
      </c>
      <c r="D355" s="18">
        <v>88</v>
      </c>
      <c r="E355" s="20" t="s">
        <v>839</v>
      </c>
      <c r="F355" s="17" t="s">
        <v>23</v>
      </c>
      <c r="G355" s="19" t="s">
        <v>57</v>
      </c>
      <c r="H355" s="18">
        <v>20.666666666666668</v>
      </c>
      <c r="I355" s="17" t="s">
        <v>133</v>
      </c>
      <c r="J355" s="17" t="s">
        <v>833</v>
      </c>
      <c r="K355" s="17"/>
      <c r="L355" s="17"/>
      <c r="M355" s="16"/>
      <c r="N355" s="30"/>
    </row>
    <row r="356" spans="1:14" ht="36" x14ac:dyDescent="0.25">
      <c r="A356" s="19" t="s">
        <v>841</v>
      </c>
      <c r="B356" s="17" t="s">
        <v>840</v>
      </c>
      <c r="C356" s="20">
        <v>4</v>
      </c>
      <c r="D356" s="18">
        <v>88</v>
      </c>
      <c r="E356" s="20" t="s">
        <v>839</v>
      </c>
      <c r="F356" s="17" t="s">
        <v>23</v>
      </c>
      <c r="G356" s="19" t="s">
        <v>69</v>
      </c>
      <c r="H356" s="18">
        <v>20.666666666666668</v>
      </c>
      <c r="I356" s="17" t="s">
        <v>133</v>
      </c>
      <c r="J356" s="17" t="s">
        <v>833</v>
      </c>
      <c r="K356" s="17"/>
      <c r="L356" s="17"/>
      <c r="M356" s="16"/>
      <c r="N356" s="30"/>
    </row>
    <row r="357" spans="1:14" ht="36" x14ac:dyDescent="0.25">
      <c r="A357" s="19" t="s">
        <v>4142</v>
      </c>
      <c r="B357" s="17" t="s">
        <v>4141</v>
      </c>
      <c r="C357" s="20">
        <v>1</v>
      </c>
      <c r="D357" s="18">
        <v>89</v>
      </c>
      <c r="E357" s="20" t="s">
        <v>4140</v>
      </c>
      <c r="F357" s="17" t="s">
        <v>544</v>
      </c>
      <c r="G357" s="19" t="s">
        <v>197</v>
      </c>
      <c r="H357" s="18">
        <v>16.433333333333334</v>
      </c>
      <c r="I357" s="17" t="s">
        <v>405</v>
      </c>
      <c r="J357" s="17" t="s">
        <v>404</v>
      </c>
      <c r="K357" s="17"/>
      <c r="L357" s="17"/>
      <c r="M357" s="16"/>
      <c r="N357" s="30"/>
    </row>
    <row r="358" spans="1:14" ht="36" x14ac:dyDescent="0.25">
      <c r="A358" s="19" t="s">
        <v>4139</v>
      </c>
      <c r="B358" s="17" t="s">
        <v>4138</v>
      </c>
      <c r="C358" s="20">
        <v>1</v>
      </c>
      <c r="D358" s="18">
        <v>69</v>
      </c>
      <c r="E358" s="20">
        <v>7099626</v>
      </c>
      <c r="F358" s="17" t="s">
        <v>508</v>
      </c>
      <c r="G358" s="19" t="s">
        <v>50</v>
      </c>
      <c r="H358" s="18">
        <v>16.100000000000001</v>
      </c>
      <c r="I358" s="17" t="s">
        <v>111</v>
      </c>
      <c r="J358" s="17" t="s">
        <v>110</v>
      </c>
      <c r="K358" s="17"/>
      <c r="L358" s="17"/>
      <c r="M358" s="16"/>
      <c r="N358" s="30"/>
    </row>
    <row r="359" spans="1:14" ht="48" x14ac:dyDescent="0.25">
      <c r="A359" s="19" t="s">
        <v>4137</v>
      </c>
      <c r="B359" s="17" t="s">
        <v>4136</v>
      </c>
      <c r="C359" s="20">
        <v>1</v>
      </c>
      <c r="D359" s="18">
        <v>69.5</v>
      </c>
      <c r="E359" s="20" t="s">
        <v>4135</v>
      </c>
      <c r="F359" s="17" t="s">
        <v>63</v>
      </c>
      <c r="G359" s="19" t="s">
        <v>62</v>
      </c>
      <c r="H359" s="18">
        <v>12.513333333333334</v>
      </c>
      <c r="I359" s="17" t="s">
        <v>68</v>
      </c>
      <c r="J359" s="17" t="s">
        <v>67</v>
      </c>
      <c r="K359" s="17"/>
      <c r="L359" s="17"/>
      <c r="M359" s="16"/>
      <c r="N359" s="30"/>
    </row>
    <row r="360" spans="1:14" ht="48" x14ac:dyDescent="0.25">
      <c r="A360" s="19" t="s">
        <v>4134</v>
      </c>
      <c r="B360" s="17" t="s">
        <v>4132</v>
      </c>
      <c r="C360" s="20">
        <v>2</v>
      </c>
      <c r="D360" s="18">
        <v>59</v>
      </c>
      <c r="E360" s="20" t="s">
        <v>4131</v>
      </c>
      <c r="F360" s="17" t="s">
        <v>575</v>
      </c>
      <c r="G360" s="19" t="s">
        <v>62</v>
      </c>
      <c r="H360" s="18">
        <v>11.013333333333334</v>
      </c>
      <c r="I360" s="17" t="s">
        <v>820</v>
      </c>
      <c r="J360" s="17" t="s">
        <v>67</v>
      </c>
      <c r="K360" s="17"/>
      <c r="L360" s="17"/>
      <c r="M360" s="16"/>
      <c r="N360" s="30"/>
    </row>
    <row r="361" spans="1:14" ht="48" x14ac:dyDescent="0.25">
      <c r="A361" s="19" t="s">
        <v>4133</v>
      </c>
      <c r="B361" s="17" t="s">
        <v>4132</v>
      </c>
      <c r="C361" s="20">
        <v>1</v>
      </c>
      <c r="D361" s="18">
        <v>59</v>
      </c>
      <c r="E361" s="20" t="s">
        <v>4131</v>
      </c>
      <c r="F361" s="17" t="s">
        <v>575</v>
      </c>
      <c r="G361" s="19" t="s">
        <v>69</v>
      </c>
      <c r="H361" s="18">
        <v>11.013333333333334</v>
      </c>
      <c r="I361" s="17" t="s">
        <v>820</v>
      </c>
      <c r="J361" s="17" t="s">
        <v>67</v>
      </c>
      <c r="K361" s="17"/>
      <c r="L361" s="17"/>
      <c r="M361" s="16"/>
      <c r="N361" s="30"/>
    </row>
    <row r="362" spans="1:14" ht="60" x14ac:dyDescent="0.25">
      <c r="A362" s="19" t="s">
        <v>4130</v>
      </c>
      <c r="B362" s="17" t="s">
        <v>4129</v>
      </c>
      <c r="C362" s="20">
        <v>9</v>
      </c>
      <c r="D362" s="18">
        <v>49.5</v>
      </c>
      <c r="E362" s="20" t="s">
        <v>3117</v>
      </c>
      <c r="F362" s="17" t="s">
        <v>23</v>
      </c>
      <c r="G362" s="19" t="s">
        <v>57</v>
      </c>
      <c r="H362" s="18">
        <v>9.9733333333333345</v>
      </c>
      <c r="I362" s="17" t="s">
        <v>106</v>
      </c>
      <c r="J362" s="17" t="s">
        <v>105</v>
      </c>
      <c r="K362" s="17"/>
      <c r="L362" s="17"/>
      <c r="M362" s="16"/>
      <c r="N362" s="30"/>
    </row>
    <row r="363" spans="1:14" ht="60" x14ac:dyDescent="0.25">
      <c r="A363" s="19" t="s">
        <v>4128</v>
      </c>
      <c r="B363" s="17" t="s">
        <v>4127</v>
      </c>
      <c r="C363" s="20">
        <v>10</v>
      </c>
      <c r="D363" s="18">
        <v>49.5</v>
      </c>
      <c r="E363" s="20" t="s">
        <v>3117</v>
      </c>
      <c r="F363" s="17" t="s">
        <v>23</v>
      </c>
      <c r="G363" s="19" t="s">
        <v>69</v>
      </c>
      <c r="H363" s="18">
        <v>9.9733333333333345</v>
      </c>
      <c r="I363" s="17" t="s">
        <v>106</v>
      </c>
      <c r="J363" s="17" t="s">
        <v>105</v>
      </c>
      <c r="K363" s="17"/>
      <c r="L363" s="17"/>
      <c r="M363" s="16"/>
      <c r="N363" s="30"/>
    </row>
    <row r="364" spans="1:14" ht="60" x14ac:dyDescent="0.25">
      <c r="A364" s="19" t="s">
        <v>4126</v>
      </c>
      <c r="B364" s="17" t="s">
        <v>4125</v>
      </c>
      <c r="C364" s="20">
        <v>14</v>
      </c>
      <c r="D364" s="18">
        <v>49.5</v>
      </c>
      <c r="E364" s="20" t="s">
        <v>3117</v>
      </c>
      <c r="F364" s="17" t="s">
        <v>23</v>
      </c>
      <c r="G364" s="19" t="s">
        <v>197</v>
      </c>
      <c r="H364" s="18">
        <v>9.9733333333333345</v>
      </c>
      <c r="I364" s="17" t="s">
        <v>106</v>
      </c>
      <c r="J364" s="17" t="s">
        <v>105</v>
      </c>
      <c r="K364" s="17"/>
      <c r="L364" s="17"/>
      <c r="M364" s="16"/>
      <c r="N364" s="30"/>
    </row>
    <row r="365" spans="1:14" ht="24" x14ac:dyDescent="0.25">
      <c r="A365" s="19" t="s">
        <v>3113</v>
      </c>
      <c r="B365" s="17" t="s">
        <v>3112</v>
      </c>
      <c r="C365" s="20">
        <v>1</v>
      </c>
      <c r="D365" s="18">
        <v>59.25</v>
      </c>
      <c r="E365" s="20">
        <v>10675496</v>
      </c>
      <c r="F365" s="17" t="s">
        <v>51</v>
      </c>
      <c r="G365" s="19" t="s">
        <v>139</v>
      </c>
      <c r="H365" s="18">
        <v>9.8000000000000007</v>
      </c>
      <c r="I365" s="17" t="s">
        <v>358</v>
      </c>
      <c r="J365" s="17" t="s">
        <v>143</v>
      </c>
      <c r="K365" s="17"/>
      <c r="L365" s="17"/>
      <c r="M365" s="16"/>
      <c r="N365" s="30"/>
    </row>
    <row r="366" spans="1:14" ht="48" x14ac:dyDescent="0.25">
      <c r="A366" s="19" t="s">
        <v>4124</v>
      </c>
      <c r="B366" s="17" t="s">
        <v>4123</v>
      </c>
      <c r="C366" s="20">
        <v>1</v>
      </c>
      <c r="D366" s="18">
        <v>34.299999999999997</v>
      </c>
      <c r="E366" s="20" t="s">
        <v>2564</v>
      </c>
      <c r="F366" s="17" t="s">
        <v>63</v>
      </c>
      <c r="G366" s="19" t="s">
        <v>62</v>
      </c>
      <c r="H366" s="18">
        <v>8.9466666666666672</v>
      </c>
      <c r="I366" s="17" t="s">
        <v>42</v>
      </c>
      <c r="J366" s="17" t="s">
        <v>41</v>
      </c>
      <c r="K366" s="17"/>
      <c r="L366" s="17"/>
      <c r="M366" s="16"/>
      <c r="N366" s="30"/>
    </row>
    <row r="367" spans="1:14" ht="48" x14ac:dyDescent="0.25">
      <c r="A367" s="19" t="s">
        <v>2433</v>
      </c>
      <c r="B367" s="17" t="s">
        <v>2432</v>
      </c>
      <c r="C367" s="20">
        <v>1</v>
      </c>
      <c r="D367" s="18">
        <v>34.299999999999997</v>
      </c>
      <c r="E367" s="20" t="s">
        <v>1617</v>
      </c>
      <c r="F367" s="17" t="s">
        <v>433</v>
      </c>
      <c r="G367" s="19" t="s">
        <v>57</v>
      </c>
      <c r="H367" s="18">
        <v>8.9466666666666672</v>
      </c>
      <c r="I367" s="17" t="s">
        <v>42</v>
      </c>
      <c r="J367" s="17" t="s">
        <v>41</v>
      </c>
      <c r="K367" s="17"/>
      <c r="L367" s="17"/>
      <c r="M367" s="16"/>
      <c r="N367" s="30"/>
    </row>
  </sheetData>
  <pageMargins left="0.5" right="0.5" top="0.25" bottom="0.25" header="0.3" footer="0.3"/>
  <pageSetup scale="65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O317"/>
  <sheetViews>
    <sheetView workbookViewId="0">
      <selection activeCell="K2" sqref="K2"/>
    </sheetView>
  </sheetViews>
  <sheetFormatPr defaultRowHeight="15" x14ac:dyDescent="0.25"/>
  <cols>
    <col min="1" max="1" width="14.140625" style="15" bestFit="1" customWidth="1"/>
    <col min="2" max="2" width="50.42578125" style="15" bestFit="1" customWidth="1"/>
    <col min="3" max="3" width="12.42578125" style="15" bestFit="1" customWidth="1"/>
    <col min="4" max="4" width="8.7109375" style="15" bestFit="1" customWidth="1"/>
    <col min="5" max="5" width="15" style="15" customWidth="1"/>
    <col min="6" max="6" width="16.140625" style="15" bestFit="1" customWidth="1"/>
    <col min="7" max="7" width="10.85546875" style="15" customWidth="1"/>
    <col min="8" max="8" width="11.140625" style="15" bestFit="1" customWidth="1"/>
    <col min="9" max="9" width="9.85546875" style="15" bestFit="1" customWidth="1"/>
    <col min="10" max="11" width="11.42578125" style="15" customWidth="1"/>
    <col min="12" max="12" width="7.42578125" style="15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5" ht="36" x14ac:dyDescent="0.25">
      <c r="A1" s="42" t="s">
        <v>2</v>
      </c>
      <c r="B1" s="42" t="s">
        <v>3</v>
      </c>
      <c r="C1" s="42" t="s">
        <v>5</v>
      </c>
      <c r="D1" s="42" t="s">
        <v>817</v>
      </c>
      <c r="E1" s="42" t="s">
        <v>7</v>
      </c>
      <c r="F1" s="42" t="s">
        <v>816</v>
      </c>
      <c r="G1" s="42" t="s">
        <v>815</v>
      </c>
      <c r="H1" s="42" t="s">
        <v>814</v>
      </c>
      <c r="I1" s="42" t="s">
        <v>10</v>
      </c>
      <c r="J1" s="42"/>
      <c r="K1" s="42"/>
    </row>
    <row r="2" spans="1:15" ht="36" x14ac:dyDescent="0.25">
      <c r="A2" s="17" t="s">
        <v>14</v>
      </c>
      <c r="B2" s="32">
        <v>13956300</v>
      </c>
      <c r="C2" s="17" t="s">
        <v>11</v>
      </c>
      <c r="D2" s="17" t="s">
        <v>813</v>
      </c>
      <c r="E2" s="20">
        <v>1</v>
      </c>
      <c r="F2" s="20">
        <v>4</v>
      </c>
      <c r="G2" s="17">
        <v>475</v>
      </c>
      <c r="H2" s="18">
        <v>57807.43</v>
      </c>
      <c r="I2" s="17">
        <v>580</v>
      </c>
      <c r="J2" s="33"/>
      <c r="K2" s="33"/>
      <c r="L2" s="30"/>
      <c r="M2" s="30"/>
    </row>
    <row r="3" spans="1:15" x14ac:dyDescent="0.25">
      <c r="A3" s="23"/>
      <c r="B3" s="25"/>
      <c r="C3" s="25"/>
      <c r="D3" s="23"/>
      <c r="E3" s="23"/>
      <c r="F3" s="23"/>
      <c r="G3" s="25"/>
      <c r="H3" s="25"/>
      <c r="I3" s="23"/>
      <c r="J3" s="22"/>
      <c r="K3" s="22"/>
      <c r="L3" s="23"/>
      <c r="M3" s="22"/>
      <c r="N3" s="22"/>
    </row>
    <row r="4" spans="1:15" s="21" customFormat="1" x14ac:dyDescent="0.25"/>
    <row r="5" spans="1:15" x14ac:dyDescent="0.25">
      <c r="A5" s="1"/>
      <c r="B5" s="1"/>
      <c r="C5" s="1"/>
      <c r="D5" s="1"/>
    </row>
    <row r="6" spans="1:15" x14ac:dyDescent="0.25">
      <c r="A6" s="24"/>
      <c r="B6" s="23"/>
      <c r="C6" s="22"/>
      <c r="D6" s="22"/>
    </row>
    <row r="7" spans="1:15" s="21" customFormat="1" x14ac:dyDescent="0.25"/>
    <row r="8" spans="1:15" ht="36" x14ac:dyDescent="0.25">
      <c r="A8" s="42" t="s">
        <v>812</v>
      </c>
      <c r="B8" s="42" t="s">
        <v>811</v>
      </c>
      <c r="C8" s="42" t="s">
        <v>810</v>
      </c>
      <c r="D8" s="42" t="s">
        <v>8</v>
      </c>
      <c r="E8" s="42" t="s">
        <v>9</v>
      </c>
      <c r="F8" s="42" t="s">
        <v>809</v>
      </c>
      <c r="G8" s="42" t="s">
        <v>808</v>
      </c>
      <c r="H8" s="42" t="s">
        <v>807</v>
      </c>
      <c r="I8" s="42" t="s">
        <v>806</v>
      </c>
      <c r="J8" s="42" t="s">
        <v>805</v>
      </c>
      <c r="K8" s="42" t="s">
        <v>804</v>
      </c>
      <c r="L8" s="42" t="s">
        <v>803</v>
      </c>
      <c r="M8" s="42" t="s">
        <v>802</v>
      </c>
      <c r="N8" s="42" t="s">
        <v>801</v>
      </c>
    </row>
    <row r="9" spans="1:15" ht="48" x14ac:dyDescent="0.25">
      <c r="A9" s="19" t="s">
        <v>5409</v>
      </c>
      <c r="B9" s="17" t="s">
        <v>5408</v>
      </c>
      <c r="C9" s="20">
        <v>1</v>
      </c>
      <c r="D9" s="18">
        <v>240</v>
      </c>
      <c r="E9" s="18">
        <v>575</v>
      </c>
      <c r="F9" s="20">
        <v>522614196000140</v>
      </c>
      <c r="G9" s="17" t="s">
        <v>44</v>
      </c>
      <c r="H9" s="19" t="s">
        <v>898</v>
      </c>
      <c r="I9" s="18">
        <v>160</v>
      </c>
      <c r="J9" s="17" t="s">
        <v>158</v>
      </c>
      <c r="K9" s="17" t="s">
        <v>157</v>
      </c>
      <c r="L9" s="17"/>
      <c r="M9" s="17"/>
      <c r="N9" s="16" t="str">
        <f>HYPERLINK("http://slimages.macys.com/is/image/MCY/19224215 ")</f>
        <v xml:space="preserve">http://slimages.macys.com/is/image/MCY/19224215 </v>
      </c>
      <c r="O9" s="30"/>
    </row>
    <row r="10" spans="1:15" ht="48" x14ac:dyDescent="0.25">
      <c r="A10" s="19" t="s">
        <v>5407</v>
      </c>
      <c r="B10" s="17" t="s">
        <v>5406</v>
      </c>
      <c r="C10" s="20">
        <v>1</v>
      </c>
      <c r="D10" s="18">
        <v>156</v>
      </c>
      <c r="E10" s="18">
        <v>375</v>
      </c>
      <c r="F10" s="20">
        <v>322627182000020</v>
      </c>
      <c r="G10" s="17" t="s">
        <v>85</v>
      </c>
      <c r="H10" s="19" t="s">
        <v>857</v>
      </c>
      <c r="I10" s="18">
        <v>104</v>
      </c>
      <c r="J10" s="17" t="s">
        <v>158</v>
      </c>
      <c r="K10" s="17" t="s">
        <v>946</v>
      </c>
      <c r="L10" s="17"/>
      <c r="M10" s="17"/>
      <c r="N10" s="16" t="str">
        <f>HYPERLINK("http://slimages.macys.com/is/image/MCY/19181229 ")</f>
        <v xml:space="preserve">http://slimages.macys.com/is/image/MCY/19181229 </v>
      </c>
      <c r="O10" s="30"/>
    </row>
    <row r="11" spans="1:15" ht="48" x14ac:dyDescent="0.25">
      <c r="A11" s="19" t="s">
        <v>5405</v>
      </c>
      <c r="B11" s="17" t="s">
        <v>5404</v>
      </c>
      <c r="C11" s="20">
        <v>1</v>
      </c>
      <c r="D11" s="18">
        <v>144</v>
      </c>
      <c r="E11" s="18">
        <v>360</v>
      </c>
      <c r="F11" s="20">
        <v>322116122000010</v>
      </c>
      <c r="G11" s="17" t="s">
        <v>23</v>
      </c>
      <c r="H11" s="19" t="s">
        <v>898</v>
      </c>
      <c r="I11" s="18">
        <v>96</v>
      </c>
      <c r="J11" s="17" t="s">
        <v>158</v>
      </c>
      <c r="K11" s="17" t="s">
        <v>946</v>
      </c>
      <c r="L11" s="17"/>
      <c r="M11" s="17"/>
      <c r="N11" s="16" t="str">
        <f>HYPERLINK("http://slimages.macys.com/is/image/MCY/18728065 ")</f>
        <v xml:space="preserve">http://slimages.macys.com/is/image/MCY/18728065 </v>
      </c>
      <c r="O11" s="30"/>
    </row>
    <row r="12" spans="1:15" ht="48" x14ac:dyDescent="0.25">
      <c r="A12" s="19" t="s">
        <v>5403</v>
      </c>
      <c r="B12" s="17" t="s">
        <v>5402</v>
      </c>
      <c r="C12" s="20">
        <v>1</v>
      </c>
      <c r="D12" s="18">
        <v>135</v>
      </c>
      <c r="E12" s="18">
        <v>325</v>
      </c>
      <c r="F12" s="20">
        <v>577602196000040</v>
      </c>
      <c r="G12" s="17" t="s">
        <v>28</v>
      </c>
      <c r="H12" s="19" t="s">
        <v>69</v>
      </c>
      <c r="I12" s="18">
        <v>90</v>
      </c>
      <c r="J12" s="17" t="s">
        <v>158</v>
      </c>
      <c r="K12" s="17" t="s">
        <v>157</v>
      </c>
      <c r="L12" s="17"/>
      <c r="M12" s="17"/>
      <c r="N12" s="16" t="str">
        <f>HYPERLINK("http://slimages.macys.com/is/image/MCY/19224048 ")</f>
        <v xml:space="preserve">http://slimages.macys.com/is/image/MCY/19224048 </v>
      </c>
      <c r="O12" s="30"/>
    </row>
    <row r="13" spans="1:15" ht="48" x14ac:dyDescent="0.25">
      <c r="A13" s="19" t="s">
        <v>5401</v>
      </c>
      <c r="B13" s="17" t="s">
        <v>5400</v>
      </c>
      <c r="C13" s="20">
        <v>1</v>
      </c>
      <c r="D13" s="18">
        <v>123</v>
      </c>
      <c r="E13" s="18">
        <v>295</v>
      </c>
      <c r="F13" s="20">
        <v>513612196000010</v>
      </c>
      <c r="G13" s="17" t="s">
        <v>44</v>
      </c>
      <c r="H13" s="19" t="s">
        <v>658</v>
      </c>
      <c r="I13" s="18">
        <v>82.000000000000014</v>
      </c>
      <c r="J13" s="17" t="s">
        <v>158</v>
      </c>
      <c r="K13" s="17" t="s">
        <v>157</v>
      </c>
      <c r="L13" s="17"/>
      <c r="M13" s="17"/>
      <c r="N13" s="16" t="str">
        <f>HYPERLINK("http://slimages.macys.com/is/image/MCY/19224218 ")</f>
        <v xml:space="preserve">http://slimages.macys.com/is/image/MCY/19224218 </v>
      </c>
      <c r="O13" s="30"/>
    </row>
    <row r="14" spans="1:15" ht="48" x14ac:dyDescent="0.25">
      <c r="A14" s="19" t="s">
        <v>2393</v>
      </c>
      <c r="B14" s="17" t="s">
        <v>2392</v>
      </c>
      <c r="C14" s="20">
        <v>1</v>
      </c>
      <c r="D14" s="18">
        <v>123</v>
      </c>
      <c r="E14" s="18">
        <v>295</v>
      </c>
      <c r="F14" s="20">
        <v>511110116000450</v>
      </c>
      <c r="G14" s="17" t="s">
        <v>282</v>
      </c>
      <c r="H14" s="19" t="s">
        <v>96</v>
      </c>
      <c r="I14" s="18">
        <v>82.000000000000014</v>
      </c>
      <c r="J14" s="17" t="s">
        <v>158</v>
      </c>
      <c r="K14" s="17" t="s">
        <v>157</v>
      </c>
      <c r="L14" s="17"/>
      <c r="M14" s="17"/>
      <c r="N14" s="16" t="str">
        <f>HYPERLINK("http://slimages.macys.com/is/image/MCY/18948451 ")</f>
        <v xml:space="preserve">http://slimages.macys.com/is/image/MCY/18948451 </v>
      </c>
      <c r="O14" s="30"/>
    </row>
    <row r="15" spans="1:15" ht="48" x14ac:dyDescent="0.25">
      <c r="A15" s="19" t="s">
        <v>1598</v>
      </c>
      <c r="B15" s="17" t="s">
        <v>1597</v>
      </c>
      <c r="C15" s="20">
        <v>1</v>
      </c>
      <c r="D15" s="18">
        <v>123</v>
      </c>
      <c r="E15" s="18">
        <v>295</v>
      </c>
      <c r="F15" s="20">
        <v>513102176000030</v>
      </c>
      <c r="G15" s="17" t="s">
        <v>85</v>
      </c>
      <c r="H15" s="19" t="s">
        <v>898</v>
      </c>
      <c r="I15" s="18">
        <v>82.000000000000014</v>
      </c>
      <c r="J15" s="17" t="s">
        <v>158</v>
      </c>
      <c r="K15" s="17" t="s">
        <v>157</v>
      </c>
      <c r="L15" s="17"/>
      <c r="M15" s="17"/>
      <c r="N15" s="16" t="str">
        <f>HYPERLINK("http://slimages.macys.com/is/image/MCY/18948597 ")</f>
        <v xml:space="preserve">http://slimages.macys.com/is/image/MCY/18948597 </v>
      </c>
      <c r="O15" s="30"/>
    </row>
    <row r="16" spans="1:15" ht="60" x14ac:dyDescent="0.25">
      <c r="A16" s="19" t="s">
        <v>5399</v>
      </c>
      <c r="B16" s="17" t="s">
        <v>5398</v>
      </c>
      <c r="C16" s="20">
        <v>1</v>
      </c>
      <c r="D16" s="18">
        <v>123</v>
      </c>
      <c r="E16" s="18">
        <v>295</v>
      </c>
      <c r="F16" s="20">
        <v>511102116000070</v>
      </c>
      <c r="G16" s="17" t="s">
        <v>1526</v>
      </c>
      <c r="H16" s="19" t="s">
        <v>898</v>
      </c>
      <c r="I16" s="18">
        <v>82.000000000000014</v>
      </c>
      <c r="J16" s="17" t="s">
        <v>158</v>
      </c>
      <c r="K16" s="17" t="s">
        <v>157</v>
      </c>
      <c r="L16" s="17" t="s">
        <v>5397</v>
      </c>
      <c r="M16" s="17" t="s">
        <v>5396</v>
      </c>
      <c r="N16" s="16" t="str">
        <f>HYPERLINK("http://images.bloomingdales.com/is/image/BLM/11521497 ")</f>
        <v xml:space="preserve">http://images.bloomingdales.com/is/image/BLM/11521497 </v>
      </c>
      <c r="O16" s="30"/>
    </row>
    <row r="17" spans="1:15" ht="48" x14ac:dyDescent="0.25">
      <c r="A17" s="19" t="s">
        <v>5395</v>
      </c>
      <c r="B17" s="17" t="s">
        <v>5394</v>
      </c>
      <c r="C17" s="20">
        <v>2</v>
      </c>
      <c r="D17" s="18">
        <v>123</v>
      </c>
      <c r="E17" s="18">
        <v>295</v>
      </c>
      <c r="F17" s="20">
        <v>336114112000010</v>
      </c>
      <c r="G17" s="17" t="s">
        <v>1526</v>
      </c>
      <c r="H17" s="19" t="s">
        <v>69</v>
      </c>
      <c r="I17" s="18">
        <v>82.000000000000014</v>
      </c>
      <c r="J17" s="17" t="s">
        <v>158</v>
      </c>
      <c r="K17" s="17" t="s">
        <v>946</v>
      </c>
      <c r="L17" s="17"/>
      <c r="M17" s="17"/>
      <c r="N17" s="16" t="str">
        <f>HYPERLINK("http://slimages.macys.com/is/image/MCY/18602547 ")</f>
        <v xml:space="preserve">http://slimages.macys.com/is/image/MCY/18602547 </v>
      </c>
      <c r="O17" s="30"/>
    </row>
    <row r="18" spans="1:15" ht="48" x14ac:dyDescent="0.25">
      <c r="A18" s="19" t="s">
        <v>5393</v>
      </c>
      <c r="B18" s="17" t="s">
        <v>5392</v>
      </c>
      <c r="C18" s="20">
        <v>2</v>
      </c>
      <c r="D18" s="18">
        <v>104</v>
      </c>
      <c r="E18" s="18">
        <v>250</v>
      </c>
      <c r="F18" s="20">
        <v>511113176000020</v>
      </c>
      <c r="G18" s="17" t="s">
        <v>282</v>
      </c>
      <c r="H18" s="19" t="s">
        <v>69</v>
      </c>
      <c r="I18" s="18">
        <v>69.333333333333343</v>
      </c>
      <c r="J18" s="17" t="s">
        <v>158</v>
      </c>
      <c r="K18" s="17" t="s">
        <v>157</v>
      </c>
      <c r="L18" s="17"/>
      <c r="M18" s="17"/>
      <c r="N18" s="16" t="str">
        <f>HYPERLINK("http://slimages.macys.com/is/image/MCY/18635096 ")</f>
        <v xml:space="preserve">http://slimages.macys.com/is/image/MCY/18635096 </v>
      </c>
      <c r="O18" s="30"/>
    </row>
    <row r="19" spans="1:15" ht="84" x14ac:dyDescent="0.25">
      <c r="A19" s="19" t="s">
        <v>5391</v>
      </c>
      <c r="B19" s="17" t="s">
        <v>5390</v>
      </c>
      <c r="C19" s="20">
        <v>1</v>
      </c>
      <c r="D19" s="18">
        <v>93.96</v>
      </c>
      <c r="E19" s="18">
        <v>218</v>
      </c>
      <c r="F19" s="20" t="s">
        <v>5389</v>
      </c>
      <c r="G19" s="17" t="s">
        <v>51</v>
      </c>
      <c r="H19" s="19" t="s">
        <v>197</v>
      </c>
      <c r="I19" s="18">
        <v>62.640000000000008</v>
      </c>
      <c r="J19" s="17" t="s">
        <v>153</v>
      </c>
      <c r="K19" s="17" t="s">
        <v>153</v>
      </c>
      <c r="L19" s="17" t="s">
        <v>4105</v>
      </c>
      <c r="M19" s="17" t="s">
        <v>5388</v>
      </c>
      <c r="N19" s="16" t="str">
        <f>HYPERLINK("http://images.bloomingdales.com/is/image/BLM/11384228 ")</f>
        <v xml:space="preserve">http://images.bloomingdales.com/is/image/BLM/11384228 </v>
      </c>
      <c r="O19" s="30"/>
    </row>
    <row r="20" spans="1:15" ht="48" x14ac:dyDescent="0.25">
      <c r="A20" s="19" t="s">
        <v>5387</v>
      </c>
      <c r="B20" s="17" t="s">
        <v>5386</v>
      </c>
      <c r="C20" s="20">
        <v>1</v>
      </c>
      <c r="D20" s="18">
        <v>92.16</v>
      </c>
      <c r="E20" s="18">
        <v>230</v>
      </c>
      <c r="F20" s="20">
        <v>313122122000020</v>
      </c>
      <c r="G20" s="17" t="s">
        <v>23</v>
      </c>
      <c r="H20" s="19" t="s">
        <v>698</v>
      </c>
      <c r="I20" s="18">
        <v>61.44</v>
      </c>
      <c r="J20" s="17" t="s">
        <v>158</v>
      </c>
      <c r="K20" s="17" t="s">
        <v>946</v>
      </c>
      <c r="L20" s="17"/>
      <c r="M20" s="17"/>
      <c r="N20" s="16" t="str">
        <f>HYPERLINK("http://slimages.macys.com/is/image/MCY/19036128 ")</f>
        <v xml:space="preserve">http://slimages.macys.com/is/image/MCY/19036128 </v>
      </c>
      <c r="O20" s="30"/>
    </row>
    <row r="21" spans="1:15" ht="48" x14ac:dyDescent="0.25">
      <c r="A21" s="19" t="s">
        <v>5385</v>
      </c>
      <c r="B21" s="17" t="s">
        <v>5384</v>
      </c>
      <c r="C21" s="20">
        <v>1</v>
      </c>
      <c r="D21" s="18">
        <v>92.16</v>
      </c>
      <c r="E21" s="18">
        <v>230</v>
      </c>
      <c r="F21" s="20">
        <v>316105122000040</v>
      </c>
      <c r="G21" s="17" t="s">
        <v>58</v>
      </c>
      <c r="H21" s="19" t="s">
        <v>658</v>
      </c>
      <c r="I21" s="18">
        <v>61.44</v>
      </c>
      <c r="J21" s="17" t="s">
        <v>158</v>
      </c>
      <c r="K21" s="17" t="s">
        <v>946</v>
      </c>
      <c r="L21" s="17"/>
      <c r="M21" s="17"/>
      <c r="N21" s="16" t="str">
        <f>HYPERLINK("http://slimages.macys.com/is/image/MCY/18733883 ")</f>
        <v xml:space="preserve">http://slimages.macys.com/is/image/MCY/18733883 </v>
      </c>
      <c r="O21" s="30"/>
    </row>
    <row r="22" spans="1:15" ht="48" x14ac:dyDescent="0.25">
      <c r="A22" s="19" t="s">
        <v>5383</v>
      </c>
      <c r="B22" s="17" t="s">
        <v>5382</v>
      </c>
      <c r="C22" s="20">
        <v>1</v>
      </c>
      <c r="D22" s="18">
        <v>69.650000000000006</v>
      </c>
      <c r="E22" s="18">
        <v>199</v>
      </c>
      <c r="F22" s="20" t="s">
        <v>928</v>
      </c>
      <c r="G22" s="17"/>
      <c r="H22" s="19" t="s">
        <v>857</v>
      </c>
      <c r="I22" s="18">
        <v>46.433333333333337</v>
      </c>
      <c r="J22" s="17" t="s">
        <v>854</v>
      </c>
      <c r="K22" s="17" t="s">
        <v>496</v>
      </c>
      <c r="L22" s="17"/>
      <c r="M22" s="17"/>
      <c r="N22" s="16" t="str">
        <f>HYPERLINK("http://slimages.macys.com/is/image/MCY/18138110 ")</f>
        <v xml:space="preserve">http://slimages.macys.com/is/image/MCY/18138110 </v>
      </c>
      <c r="O22" s="30"/>
    </row>
    <row r="23" spans="1:15" ht="48" x14ac:dyDescent="0.25">
      <c r="A23" s="19" t="s">
        <v>5381</v>
      </c>
      <c r="B23" s="17" t="s">
        <v>5380</v>
      </c>
      <c r="C23" s="20">
        <v>1</v>
      </c>
      <c r="D23" s="18">
        <v>69.650000000000006</v>
      </c>
      <c r="E23" s="18">
        <v>199</v>
      </c>
      <c r="F23" s="20" t="s">
        <v>5379</v>
      </c>
      <c r="G23" s="17" t="s">
        <v>51</v>
      </c>
      <c r="H23" s="19" t="s">
        <v>857</v>
      </c>
      <c r="I23" s="18">
        <v>46.433333333333337</v>
      </c>
      <c r="J23" s="17" t="s">
        <v>854</v>
      </c>
      <c r="K23" s="17" t="s">
        <v>496</v>
      </c>
      <c r="L23" s="17"/>
      <c r="M23" s="17"/>
      <c r="N23" s="16" t="str">
        <f>HYPERLINK("http://slimages.macys.com/is/image/MCY/18147566 ")</f>
        <v xml:space="preserve">http://slimages.macys.com/is/image/MCY/18147566 </v>
      </c>
      <c r="O23" s="30"/>
    </row>
    <row r="24" spans="1:15" ht="48" x14ac:dyDescent="0.25">
      <c r="A24" s="19" t="s">
        <v>5378</v>
      </c>
      <c r="B24" s="17" t="s">
        <v>5377</v>
      </c>
      <c r="C24" s="20">
        <v>1</v>
      </c>
      <c r="D24" s="18">
        <v>69</v>
      </c>
      <c r="E24" s="18">
        <v>150</v>
      </c>
      <c r="F24" s="20" t="s">
        <v>5376</v>
      </c>
      <c r="G24" s="17" t="s">
        <v>919</v>
      </c>
      <c r="H24" s="19" t="s">
        <v>658</v>
      </c>
      <c r="I24" s="18">
        <v>46.000000000000007</v>
      </c>
      <c r="J24" s="17" t="s">
        <v>481</v>
      </c>
      <c r="K24" s="17" t="s">
        <v>1500</v>
      </c>
      <c r="L24" s="17"/>
      <c r="M24" s="17"/>
      <c r="N24" s="16" t="str">
        <f>HYPERLINK("http://slimages.macys.com/is/image/MCY/21012780 ")</f>
        <v xml:space="preserve">http://slimages.macys.com/is/image/MCY/21012780 </v>
      </c>
      <c r="O24" s="30"/>
    </row>
    <row r="25" spans="1:15" ht="48" x14ac:dyDescent="0.25">
      <c r="A25" s="19" t="s">
        <v>5375</v>
      </c>
      <c r="B25" s="17" t="s">
        <v>5374</v>
      </c>
      <c r="C25" s="20">
        <v>2</v>
      </c>
      <c r="D25" s="18">
        <v>62.65</v>
      </c>
      <c r="E25" s="18">
        <v>179</v>
      </c>
      <c r="F25" s="20" t="s">
        <v>923</v>
      </c>
      <c r="G25" s="17" t="s">
        <v>562</v>
      </c>
      <c r="H25" s="19" t="s">
        <v>698</v>
      </c>
      <c r="I25" s="18">
        <v>41.766666666666666</v>
      </c>
      <c r="J25" s="17" t="s">
        <v>854</v>
      </c>
      <c r="K25" s="17" t="s">
        <v>496</v>
      </c>
      <c r="L25" s="17"/>
      <c r="M25" s="17"/>
      <c r="N25" s="16" t="str">
        <f>HYPERLINK("http://slimages.macys.com/is/image/MCY/19191255 ")</f>
        <v xml:space="preserve">http://slimages.macys.com/is/image/MCY/19191255 </v>
      </c>
      <c r="O25" s="30"/>
    </row>
    <row r="26" spans="1:15" ht="48" x14ac:dyDescent="0.25">
      <c r="A26" s="19" t="s">
        <v>5373</v>
      </c>
      <c r="B26" s="17" t="s">
        <v>5372</v>
      </c>
      <c r="C26" s="20">
        <v>1</v>
      </c>
      <c r="D26" s="18">
        <v>55.65</v>
      </c>
      <c r="E26" s="18">
        <v>159</v>
      </c>
      <c r="F26" s="20" t="s">
        <v>5371</v>
      </c>
      <c r="G26" s="17" t="s">
        <v>28</v>
      </c>
      <c r="H26" s="19" t="s">
        <v>698</v>
      </c>
      <c r="I26" s="18">
        <v>37.1</v>
      </c>
      <c r="J26" s="17" t="s">
        <v>854</v>
      </c>
      <c r="K26" s="17" t="s">
        <v>496</v>
      </c>
      <c r="L26" s="17"/>
      <c r="M26" s="17"/>
      <c r="N26" s="16" t="str">
        <f>HYPERLINK("http://slimages.macys.com/is/image/MCY/18137861 ")</f>
        <v xml:space="preserve">http://slimages.macys.com/is/image/MCY/18137861 </v>
      </c>
      <c r="O26" s="30"/>
    </row>
    <row r="27" spans="1:15" ht="48" x14ac:dyDescent="0.25">
      <c r="A27" s="19" t="s">
        <v>5370</v>
      </c>
      <c r="B27" s="17" t="s">
        <v>5369</v>
      </c>
      <c r="C27" s="20">
        <v>1</v>
      </c>
      <c r="D27" s="18">
        <v>53.1</v>
      </c>
      <c r="E27" s="18">
        <v>148</v>
      </c>
      <c r="F27" s="20" t="s">
        <v>5368</v>
      </c>
      <c r="G27" s="17"/>
      <c r="H27" s="19" t="s">
        <v>62</v>
      </c>
      <c r="I27" s="18">
        <v>35.4</v>
      </c>
      <c r="J27" s="17" t="s">
        <v>133</v>
      </c>
      <c r="K27" s="17" t="s">
        <v>132</v>
      </c>
      <c r="L27" s="17"/>
      <c r="M27" s="17"/>
      <c r="N27" s="16" t="str">
        <f>HYPERLINK("http://slimages.macys.com/is/image/MCY/18860375 ")</f>
        <v xml:space="preserve">http://slimages.macys.com/is/image/MCY/18860375 </v>
      </c>
      <c r="O27" s="30"/>
    </row>
    <row r="28" spans="1:15" ht="48" x14ac:dyDescent="0.25">
      <c r="A28" s="19" t="s">
        <v>5367</v>
      </c>
      <c r="B28" s="17" t="s">
        <v>5366</v>
      </c>
      <c r="C28" s="20">
        <v>1</v>
      </c>
      <c r="D28" s="18">
        <v>47.7</v>
      </c>
      <c r="E28" s="18">
        <v>159</v>
      </c>
      <c r="F28" s="20" t="s">
        <v>5365</v>
      </c>
      <c r="G28" s="17" t="s">
        <v>23</v>
      </c>
      <c r="H28" s="19" t="s">
        <v>749</v>
      </c>
      <c r="I28" s="18">
        <v>31.799999999999997</v>
      </c>
      <c r="J28" s="17" t="s">
        <v>144</v>
      </c>
      <c r="K28" s="17" t="s">
        <v>496</v>
      </c>
      <c r="L28" s="17"/>
      <c r="M28" s="17"/>
      <c r="N28" s="16" t="str">
        <f>HYPERLINK("http://slimages.macys.com/is/image/MCY/19447765 ")</f>
        <v xml:space="preserve">http://slimages.macys.com/is/image/MCY/19447765 </v>
      </c>
      <c r="O28" s="30"/>
    </row>
    <row r="29" spans="1:15" ht="48" x14ac:dyDescent="0.25">
      <c r="A29" s="19" t="s">
        <v>5364</v>
      </c>
      <c r="B29" s="17" t="s">
        <v>5363</v>
      </c>
      <c r="C29" s="20">
        <v>2</v>
      </c>
      <c r="D29" s="18">
        <v>46</v>
      </c>
      <c r="E29" s="18">
        <v>109.99</v>
      </c>
      <c r="F29" s="20">
        <v>50039659</v>
      </c>
      <c r="G29" s="17" t="s">
        <v>28</v>
      </c>
      <c r="H29" s="19" t="s">
        <v>658</v>
      </c>
      <c r="I29" s="18">
        <v>30.666666666666664</v>
      </c>
      <c r="J29" s="17" t="s">
        <v>854</v>
      </c>
      <c r="K29" s="17" t="s">
        <v>850</v>
      </c>
      <c r="L29" s="17"/>
      <c r="M29" s="17"/>
      <c r="N29" s="16" t="str">
        <f>HYPERLINK("http://slimages.macys.com/is/image/MCY/18703354 ")</f>
        <v xml:space="preserve">http://slimages.macys.com/is/image/MCY/18703354 </v>
      </c>
      <c r="O29" s="30"/>
    </row>
    <row r="30" spans="1:15" ht="48" x14ac:dyDescent="0.25">
      <c r="A30" s="19" t="s">
        <v>5362</v>
      </c>
      <c r="B30" s="17" t="s">
        <v>5361</v>
      </c>
      <c r="C30" s="20">
        <v>1</v>
      </c>
      <c r="D30" s="18">
        <v>46</v>
      </c>
      <c r="E30" s="18">
        <v>99.99</v>
      </c>
      <c r="F30" s="20">
        <v>50039399</v>
      </c>
      <c r="G30" s="17" t="s">
        <v>28</v>
      </c>
      <c r="H30" s="19" t="s">
        <v>96</v>
      </c>
      <c r="I30" s="18">
        <v>30.666666666666664</v>
      </c>
      <c r="J30" s="17" t="s">
        <v>854</v>
      </c>
      <c r="K30" s="17" t="s">
        <v>850</v>
      </c>
      <c r="L30" s="17"/>
      <c r="M30" s="17"/>
      <c r="N30" s="16" t="str">
        <f>HYPERLINK("http://slimages.macys.com/is/image/MCY/17968713 ")</f>
        <v xml:space="preserve">http://slimages.macys.com/is/image/MCY/17968713 </v>
      </c>
      <c r="O30" s="30"/>
    </row>
    <row r="31" spans="1:15" ht="48" x14ac:dyDescent="0.25">
      <c r="A31" s="19" t="s">
        <v>4766</v>
      </c>
      <c r="B31" s="17" t="s">
        <v>4765</v>
      </c>
      <c r="C31" s="20">
        <v>1</v>
      </c>
      <c r="D31" s="18">
        <v>46</v>
      </c>
      <c r="E31" s="18">
        <v>109.99</v>
      </c>
      <c r="F31" s="20">
        <v>50039659</v>
      </c>
      <c r="G31" s="17" t="s">
        <v>28</v>
      </c>
      <c r="H31" s="19" t="s">
        <v>698</v>
      </c>
      <c r="I31" s="18">
        <v>30.666666666666664</v>
      </c>
      <c r="J31" s="17" t="s">
        <v>854</v>
      </c>
      <c r="K31" s="17" t="s">
        <v>850</v>
      </c>
      <c r="L31" s="17"/>
      <c r="M31" s="17"/>
      <c r="N31" s="16" t="str">
        <f>HYPERLINK("http://slimages.macys.com/is/image/MCY/18703354 ")</f>
        <v xml:space="preserve">http://slimages.macys.com/is/image/MCY/18703354 </v>
      </c>
      <c r="O31" s="30"/>
    </row>
    <row r="32" spans="1:15" ht="48" x14ac:dyDescent="0.25">
      <c r="A32" s="19" t="s">
        <v>5360</v>
      </c>
      <c r="B32" s="17" t="s">
        <v>5359</v>
      </c>
      <c r="C32" s="20">
        <v>1</v>
      </c>
      <c r="D32" s="18">
        <v>46</v>
      </c>
      <c r="E32" s="18">
        <v>109.99</v>
      </c>
      <c r="F32" s="20">
        <v>50039511</v>
      </c>
      <c r="G32" s="17" t="s">
        <v>51</v>
      </c>
      <c r="H32" s="19" t="s">
        <v>116</v>
      </c>
      <c r="I32" s="18">
        <v>30.666666666666664</v>
      </c>
      <c r="J32" s="17" t="s">
        <v>854</v>
      </c>
      <c r="K32" s="17" t="s">
        <v>850</v>
      </c>
      <c r="L32" s="17"/>
      <c r="M32" s="17"/>
      <c r="N32" s="16" t="str">
        <f>HYPERLINK("http://slimages.macys.com/is/image/MCY/18482241 ")</f>
        <v xml:space="preserve">http://slimages.macys.com/is/image/MCY/18482241 </v>
      </c>
      <c r="O32" s="30"/>
    </row>
    <row r="33" spans="1:15" ht="48" x14ac:dyDescent="0.25">
      <c r="A33" s="19" t="s">
        <v>5358</v>
      </c>
      <c r="B33" s="17" t="s">
        <v>5357</v>
      </c>
      <c r="C33" s="20">
        <v>1</v>
      </c>
      <c r="D33" s="18">
        <v>45</v>
      </c>
      <c r="E33" s="18">
        <v>99</v>
      </c>
      <c r="F33" s="20" t="s">
        <v>5356</v>
      </c>
      <c r="G33" s="17" t="s">
        <v>575</v>
      </c>
      <c r="H33" s="19" t="s">
        <v>857</v>
      </c>
      <c r="I33" s="18">
        <v>30</v>
      </c>
      <c r="J33" s="17" t="s">
        <v>148</v>
      </c>
      <c r="K33" s="17" t="s">
        <v>772</v>
      </c>
      <c r="L33" s="17"/>
      <c r="M33" s="17"/>
      <c r="N33" s="16" t="str">
        <f>HYPERLINK("http://slimages.macys.com/is/image/MCY/18662350 ")</f>
        <v xml:space="preserve">http://slimages.macys.com/is/image/MCY/18662350 </v>
      </c>
      <c r="O33" s="30"/>
    </row>
    <row r="34" spans="1:15" ht="48" x14ac:dyDescent="0.25">
      <c r="A34" s="19" t="s">
        <v>5355</v>
      </c>
      <c r="B34" s="17" t="s">
        <v>5354</v>
      </c>
      <c r="C34" s="20">
        <v>1</v>
      </c>
      <c r="D34" s="18">
        <v>44.7</v>
      </c>
      <c r="E34" s="18">
        <v>149</v>
      </c>
      <c r="F34" s="20" t="s">
        <v>5353</v>
      </c>
      <c r="G34" s="17" t="s">
        <v>881</v>
      </c>
      <c r="H34" s="19" t="s">
        <v>898</v>
      </c>
      <c r="I34" s="18">
        <v>29.8</v>
      </c>
      <c r="J34" s="17" t="s">
        <v>144</v>
      </c>
      <c r="K34" s="17" t="s">
        <v>496</v>
      </c>
      <c r="L34" s="17"/>
      <c r="M34" s="17"/>
      <c r="N34" s="16" t="str">
        <f>HYPERLINK("http://slimages.macys.com/is/image/MCY/19168336 ")</f>
        <v xml:space="preserve">http://slimages.macys.com/is/image/MCY/19168336 </v>
      </c>
      <c r="O34" s="30"/>
    </row>
    <row r="35" spans="1:15" ht="48" x14ac:dyDescent="0.25">
      <c r="A35" s="19" t="s">
        <v>5352</v>
      </c>
      <c r="B35" s="17" t="s">
        <v>5351</v>
      </c>
      <c r="C35" s="20">
        <v>1</v>
      </c>
      <c r="D35" s="18">
        <v>44</v>
      </c>
      <c r="E35" s="18">
        <v>110</v>
      </c>
      <c r="F35" s="20">
        <v>1008</v>
      </c>
      <c r="G35" s="17" t="s">
        <v>149</v>
      </c>
      <c r="H35" s="19" t="s">
        <v>62</v>
      </c>
      <c r="I35" s="18">
        <v>29.333333333333336</v>
      </c>
      <c r="J35" s="17" t="s">
        <v>133</v>
      </c>
      <c r="K35" s="17" t="s">
        <v>1480</v>
      </c>
      <c r="L35" s="17"/>
      <c r="M35" s="17"/>
      <c r="N35" s="16" t="str">
        <f>HYPERLINK("http://slimages.macys.com/is/image/MCY/19008868 ")</f>
        <v xml:space="preserve">http://slimages.macys.com/is/image/MCY/19008868 </v>
      </c>
      <c r="O35" s="30"/>
    </row>
    <row r="36" spans="1:15" ht="48" x14ac:dyDescent="0.25">
      <c r="A36" s="19" t="s">
        <v>5350</v>
      </c>
      <c r="B36" s="17" t="s">
        <v>5349</v>
      </c>
      <c r="C36" s="20">
        <v>1</v>
      </c>
      <c r="D36" s="18">
        <v>43.2</v>
      </c>
      <c r="E36" s="18">
        <v>119</v>
      </c>
      <c r="F36" s="20" t="s">
        <v>5348</v>
      </c>
      <c r="G36" s="17" t="s">
        <v>91</v>
      </c>
      <c r="H36" s="19" t="s">
        <v>773</v>
      </c>
      <c r="I36" s="18">
        <v>28.800000000000004</v>
      </c>
      <c r="J36" s="17" t="s">
        <v>1363</v>
      </c>
      <c r="K36" s="17" t="s">
        <v>1362</v>
      </c>
      <c r="L36" s="17"/>
      <c r="M36" s="17"/>
      <c r="N36" s="16" t="str">
        <f>HYPERLINK("http://slimages.macys.com/is/image/MCY/18148051 ")</f>
        <v xml:space="preserve">http://slimages.macys.com/is/image/MCY/18148051 </v>
      </c>
      <c r="O36" s="30"/>
    </row>
    <row r="37" spans="1:15" ht="48" x14ac:dyDescent="0.25">
      <c r="A37" s="19" t="s">
        <v>5347</v>
      </c>
      <c r="B37" s="17" t="s">
        <v>5346</v>
      </c>
      <c r="C37" s="20">
        <v>1</v>
      </c>
      <c r="D37" s="18">
        <v>43.09</v>
      </c>
      <c r="E37" s="18">
        <v>139</v>
      </c>
      <c r="F37" s="20">
        <v>10716412</v>
      </c>
      <c r="G37" s="17" t="s">
        <v>81</v>
      </c>
      <c r="H37" s="19" t="s">
        <v>682</v>
      </c>
      <c r="I37" s="18">
        <v>28.72666666666667</v>
      </c>
      <c r="J37" s="17" t="s">
        <v>144</v>
      </c>
      <c r="K37" s="17" t="s">
        <v>114</v>
      </c>
      <c r="L37" s="17"/>
      <c r="M37" s="17"/>
      <c r="N37" s="16" t="str">
        <f>HYPERLINK("http://slimages.macys.com/is/image/MCY/18468064 ")</f>
        <v xml:space="preserve">http://slimages.macys.com/is/image/MCY/18468064 </v>
      </c>
      <c r="O37" s="30"/>
    </row>
    <row r="38" spans="1:15" ht="48" x14ac:dyDescent="0.25">
      <c r="A38" s="19" t="s">
        <v>5345</v>
      </c>
      <c r="B38" s="17" t="s">
        <v>5344</v>
      </c>
      <c r="C38" s="20">
        <v>1</v>
      </c>
      <c r="D38" s="18">
        <v>43</v>
      </c>
      <c r="E38" s="18">
        <v>149</v>
      </c>
      <c r="F38" s="20" t="s">
        <v>1449</v>
      </c>
      <c r="G38" s="17" t="s">
        <v>44</v>
      </c>
      <c r="H38" s="19" t="s">
        <v>1191</v>
      </c>
      <c r="I38" s="18">
        <v>28.666666666666668</v>
      </c>
      <c r="J38" s="17" t="s">
        <v>550</v>
      </c>
      <c r="K38" s="17" t="s">
        <v>1448</v>
      </c>
      <c r="L38" s="17"/>
      <c r="M38" s="17"/>
      <c r="N38" s="16" t="str">
        <f>HYPERLINK("http://slimages.macys.com/is/image/MCY/18194643 ")</f>
        <v xml:space="preserve">http://slimages.macys.com/is/image/MCY/18194643 </v>
      </c>
      <c r="O38" s="30"/>
    </row>
    <row r="39" spans="1:15" ht="48" x14ac:dyDescent="0.25">
      <c r="A39" s="19" t="s">
        <v>5343</v>
      </c>
      <c r="B39" s="17" t="s">
        <v>5342</v>
      </c>
      <c r="C39" s="20">
        <v>1</v>
      </c>
      <c r="D39" s="18">
        <v>42.17</v>
      </c>
      <c r="E39" s="18">
        <v>111.75</v>
      </c>
      <c r="F39" s="20" t="s">
        <v>2970</v>
      </c>
      <c r="G39" s="17" t="s">
        <v>562</v>
      </c>
      <c r="H39" s="19" t="s">
        <v>1292</v>
      </c>
      <c r="I39" s="18">
        <v>28.113333333333333</v>
      </c>
      <c r="J39" s="17" t="s">
        <v>358</v>
      </c>
      <c r="K39" s="17" t="s">
        <v>32</v>
      </c>
      <c r="L39" s="17"/>
      <c r="M39" s="17"/>
      <c r="N39" s="16" t="str">
        <f>HYPERLINK("http://slimages.macys.com/is/image/MCY/19547783 ")</f>
        <v xml:space="preserve">http://slimages.macys.com/is/image/MCY/19547783 </v>
      </c>
      <c r="O39" s="30"/>
    </row>
    <row r="40" spans="1:15" ht="60" x14ac:dyDescent="0.25">
      <c r="A40" s="19" t="s">
        <v>5341</v>
      </c>
      <c r="B40" s="17" t="s">
        <v>5340</v>
      </c>
      <c r="C40" s="20">
        <v>1</v>
      </c>
      <c r="D40" s="18">
        <v>42.16</v>
      </c>
      <c r="E40" s="18">
        <v>139.5</v>
      </c>
      <c r="F40" s="20" t="s">
        <v>5339</v>
      </c>
      <c r="G40" s="17" t="s">
        <v>558</v>
      </c>
      <c r="H40" s="19" t="s">
        <v>74</v>
      </c>
      <c r="I40" s="18">
        <v>28.106666666666669</v>
      </c>
      <c r="J40" s="17" t="s">
        <v>106</v>
      </c>
      <c r="K40" s="17" t="s">
        <v>105</v>
      </c>
      <c r="L40" s="17"/>
      <c r="M40" s="17"/>
      <c r="N40" s="16" t="str">
        <f>HYPERLINK("http://slimages.macys.com/is/image/MCY/19385411 ")</f>
        <v xml:space="preserve">http://slimages.macys.com/is/image/MCY/19385411 </v>
      </c>
      <c r="O40" s="30"/>
    </row>
    <row r="41" spans="1:15" ht="48" x14ac:dyDescent="0.25">
      <c r="A41" s="19" t="s">
        <v>5338</v>
      </c>
      <c r="B41" s="17" t="s">
        <v>5337</v>
      </c>
      <c r="C41" s="20">
        <v>1</v>
      </c>
      <c r="D41" s="18">
        <v>41.72</v>
      </c>
      <c r="E41" s="18">
        <v>149</v>
      </c>
      <c r="F41" s="20" t="s">
        <v>2187</v>
      </c>
      <c r="G41" s="17" t="s">
        <v>58</v>
      </c>
      <c r="H41" s="19" t="s">
        <v>658</v>
      </c>
      <c r="I41" s="18">
        <v>27.813333333333333</v>
      </c>
      <c r="J41" s="17" t="s">
        <v>820</v>
      </c>
      <c r="K41" s="17" t="s">
        <v>67</v>
      </c>
      <c r="L41" s="17"/>
      <c r="M41" s="17"/>
      <c r="N41" s="16" t="str">
        <f>HYPERLINK("http://slimages.macys.com/is/image/MCY/19909553 ")</f>
        <v xml:space="preserve">http://slimages.macys.com/is/image/MCY/19909553 </v>
      </c>
      <c r="O41" s="30"/>
    </row>
    <row r="42" spans="1:15" ht="48" x14ac:dyDescent="0.25">
      <c r="A42" s="19" t="s">
        <v>2191</v>
      </c>
      <c r="B42" s="17" t="s">
        <v>2190</v>
      </c>
      <c r="C42" s="20">
        <v>2</v>
      </c>
      <c r="D42" s="18">
        <v>41.72</v>
      </c>
      <c r="E42" s="18">
        <v>149</v>
      </c>
      <c r="F42" s="20" t="s">
        <v>2187</v>
      </c>
      <c r="G42" s="17" t="s">
        <v>58</v>
      </c>
      <c r="H42" s="19" t="s">
        <v>698</v>
      </c>
      <c r="I42" s="18">
        <v>27.813333333333333</v>
      </c>
      <c r="J42" s="17" t="s">
        <v>820</v>
      </c>
      <c r="K42" s="17" t="s">
        <v>67</v>
      </c>
      <c r="L42" s="17"/>
      <c r="M42" s="17"/>
      <c r="N42" s="16" t="str">
        <f>HYPERLINK("http://slimages.macys.com/is/image/MCY/19909553 ")</f>
        <v xml:space="preserve">http://slimages.macys.com/is/image/MCY/19909553 </v>
      </c>
      <c r="O42" s="30"/>
    </row>
    <row r="43" spans="1:15" ht="48" x14ac:dyDescent="0.25">
      <c r="A43" s="19" t="s">
        <v>5336</v>
      </c>
      <c r="B43" s="17" t="s">
        <v>5335</v>
      </c>
      <c r="C43" s="20">
        <v>1</v>
      </c>
      <c r="D43" s="18">
        <v>41.72</v>
      </c>
      <c r="E43" s="18">
        <v>149</v>
      </c>
      <c r="F43" s="20" t="s">
        <v>2187</v>
      </c>
      <c r="G43" s="17" t="s">
        <v>58</v>
      </c>
      <c r="H43" s="19" t="s">
        <v>96</v>
      </c>
      <c r="I43" s="18">
        <v>27.813333333333333</v>
      </c>
      <c r="J43" s="17" t="s">
        <v>820</v>
      </c>
      <c r="K43" s="17" t="s">
        <v>67</v>
      </c>
      <c r="L43" s="17"/>
      <c r="M43" s="17"/>
      <c r="N43" s="16" t="str">
        <f>HYPERLINK("http://slimages.macys.com/is/image/MCY/19909553 ")</f>
        <v xml:space="preserve">http://slimages.macys.com/is/image/MCY/19909553 </v>
      </c>
      <c r="O43" s="30"/>
    </row>
    <row r="44" spans="1:15" ht="48" x14ac:dyDescent="0.25">
      <c r="A44" s="19" t="s">
        <v>4743</v>
      </c>
      <c r="B44" s="17" t="s">
        <v>4742</v>
      </c>
      <c r="C44" s="20">
        <v>1</v>
      </c>
      <c r="D44" s="18">
        <v>41.7</v>
      </c>
      <c r="E44" s="18">
        <v>139</v>
      </c>
      <c r="F44" s="20" t="s">
        <v>4741</v>
      </c>
      <c r="G44" s="17" t="s">
        <v>558</v>
      </c>
      <c r="H44" s="19" t="s">
        <v>749</v>
      </c>
      <c r="I44" s="18">
        <v>27.8</v>
      </c>
      <c r="J44" s="17" t="s">
        <v>678</v>
      </c>
      <c r="K44" s="17" t="s">
        <v>404</v>
      </c>
      <c r="L44" s="17"/>
      <c r="M44" s="17"/>
      <c r="N44" s="16" t="str">
        <f>HYPERLINK("http://slimages.macys.com/is/image/MCY/19101728 ")</f>
        <v xml:space="preserve">http://slimages.macys.com/is/image/MCY/19101728 </v>
      </c>
      <c r="O44" s="30"/>
    </row>
    <row r="45" spans="1:15" ht="60" x14ac:dyDescent="0.25">
      <c r="A45" s="19" t="s">
        <v>5334</v>
      </c>
      <c r="B45" s="17" t="s">
        <v>5333</v>
      </c>
      <c r="C45" s="20">
        <v>1</v>
      </c>
      <c r="D45" s="18">
        <v>41.65</v>
      </c>
      <c r="E45" s="18">
        <v>129</v>
      </c>
      <c r="F45" s="20">
        <v>8169946</v>
      </c>
      <c r="G45" s="17"/>
      <c r="H45" s="19" t="s">
        <v>62</v>
      </c>
      <c r="I45" s="18">
        <v>27.766666666666669</v>
      </c>
      <c r="J45" s="17" t="s">
        <v>129</v>
      </c>
      <c r="K45" s="17" t="s">
        <v>128</v>
      </c>
      <c r="L45" s="17" t="s">
        <v>637</v>
      </c>
      <c r="M45" s="17" t="s">
        <v>3711</v>
      </c>
      <c r="N45" s="16" t="str">
        <f>HYPERLINK("http://images.bloomingdales.com/is/image/BLM/10763325 ")</f>
        <v xml:space="preserve">http://images.bloomingdales.com/is/image/BLM/10763325 </v>
      </c>
      <c r="O45" s="30"/>
    </row>
    <row r="46" spans="1:15" ht="48" x14ac:dyDescent="0.25">
      <c r="A46" s="19" t="s">
        <v>5332</v>
      </c>
      <c r="B46" s="17" t="s">
        <v>5331</v>
      </c>
      <c r="C46" s="20">
        <v>1</v>
      </c>
      <c r="D46" s="18">
        <v>40.64</v>
      </c>
      <c r="E46" s="18">
        <v>96.75</v>
      </c>
      <c r="F46" s="20">
        <v>10758370</v>
      </c>
      <c r="G46" s="17" t="s">
        <v>23</v>
      </c>
      <c r="H46" s="19" t="s">
        <v>916</v>
      </c>
      <c r="I46" s="18">
        <v>27.093333333333334</v>
      </c>
      <c r="J46" s="17" t="s">
        <v>358</v>
      </c>
      <c r="K46" s="17" t="s">
        <v>143</v>
      </c>
      <c r="L46" s="17"/>
      <c r="M46" s="17"/>
      <c r="N46" s="16" t="str">
        <f>HYPERLINK("http://slimages.macys.com/is/image/MCY/16862623 ")</f>
        <v xml:space="preserve">http://slimages.macys.com/is/image/MCY/16862623 </v>
      </c>
      <c r="O46" s="30"/>
    </row>
    <row r="47" spans="1:15" ht="48" x14ac:dyDescent="0.25">
      <c r="A47" s="19" t="s">
        <v>5330</v>
      </c>
      <c r="B47" s="17" t="s">
        <v>5329</v>
      </c>
      <c r="C47" s="20">
        <v>1</v>
      </c>
      <c r="D47" s="18">
        <v>40.64</v>
      </c>
      <c r="E47" s="18">
        <v>96.75</v>
      </c>
      <c r="F47" s="20">
        <v>10769526</v>
      </c>
      <c r="G47" s="17" t="s">
        <v>28</v>
      </c>
      <c r="H47" s="19" t="s">
        <v>271</v>
      </c>
      <c r="I47" s="18">
        <v>27.093333333333334</v>
      </c>
      <c r="J47" s="17" t="s">
        <v>358</v>
      </c>
      <c r="K47" s="17" t="s">
        <v>143</v>
      </c>
      <c r="L47" s="17"/>
      <c r="M47" s="17"/>
      <c r="N47" s="16" t="str">
        <f>HYPERLINK("http://slimages.macys.com/is/image/MCY/19096214 ")</f>
        <v xml:space="preserve">http://slimages.macys.com/is/image/MCY/19096214 </v>
      </c>
      <c r="O47" s="30"/>
    </row>
    <row r="48" spans="1:15" ht="48" x14ac:dyDescent="0.25">
      <c r="A48" s="19" t="s">
        <v>5328</v>
      </c>
      <c r="B48" s="17" t="s">
        <v>5327</v>
      </c>
      <c r="C48" s="20">
        <v>1</v>
      </c>
      <c r="D48" s="18">
        <v>40.64</v>
      </c>
      <c r="E48" s="18">
        <v>96.75</v>
      </c>
      <c r="F48" s="20">
        <v>10769526</v>
      </c>
      <c r="G48" s="17" t="s">
        <v>28</v>
      </c>
      <c r="H48" s="19" t="s">
        <v>351</v>
      </c>
      <c r="I48" s="18">
        <v>27.093333333333334</v>
      </c>
      <c r="J48" s="17" t="s">
        <v>358</v>
      </c>
      <c r="K48" s="17" t="s">
        <v>143</v>
      </c>
      <c r="L48" s="17"/>
      <c r="M48" s="17"/>
      <c r="N48" s="16" t="str">
        <f>HYPERLINK("http://slimages.macys.com/is/image/MCY/19096214 ")</f>
        <v xml:space="preserve">http://slimages.macys.com/is/image/MCY/19096214 </v>
      </c>
      <c r="O48" s="30"/>
    </row>
    <row r="49" spans="1:15" ht="48" x14ac:dyDescent="0.25">
      <c r="A49" s="19" t="s">
        <v>4032</v>
      </c>
      <c r="B49" s="17" t="s">
        <v>4031</v>
      </c>
      <c r="C49" s="20">
        <v>1</v>
      </c>
      <c r="D49" s="18">
        <v>40.64</v>
      </c>
      <c r="E49" s="18">
        <v>96.75</v>
      </c>
      <c r="F49" s="20">
        <v>10758370</v>
      </c>
      <c r="G49" s="17" t="s">
        <v>23</v>
      </c>
      <c r="H49" s="19" t="s">
        <v>1191</v>
      </c>
      <c r="I49" s="18">
        <v>27.093333333333334</v>
      </c>
      <c r="J49" s="17" t="s">
        <v>358</v>
      </c>
      <c r="K49" s="17" t="s">
        <v>143</v>
      </c>
      <c r="L49" s="17"/>
      <c r="M49" s="17"/>
      <c r="N49" s="16" t="str">
        <f>HYPERLINK("http://slimages.macys.com/is/image/MCY/16862623 ")</f>
        <v xml:space="preserve">http://slimages.macys.com/is/image/MCY/16862623 </v>
      </c>
      <c r="O49" s="30"/>
    </row>
    <row r="50" spans="1:15" ht="48" x14ac:dyDescent="0.25">
      <c r="A50" s="19" t="s">
        <v>5326</v>
      </c>
      <c r="B50" s="17" t="s">
        <v>5325</v>
      </c>
      <c r="C50" s="20">
        <v>1</v>
      </c>
      <c r="D50" s="18">
        <v>39.35</v>
      </c>
      <c r="E50" s="18">
        <v>104.25</v>
      </c>
      <c r="F50" s="20" t="s">
        <v>5322</v>
      </c>
      <c r="G50" s="17" t="s">
        <v>282</v>
      </c>
      <c r="H50" s="19" t="s">
        <v>916</v>
      </c>
      <c r="I50" s="18">
        <v>26.233333333333334</v>
      </c>
      <c r="J50" s="17" t="s">
        <v>358</v>
      </c>
      <c r="K50" s="17" t="s">
        <v>32</v>
      </c>
      <c r="L50" s="17"/>
      <c r="M50" s="17"/>
      <c r="N50" s="16" t="str">
        <f>HYPERLINK("http://slimages.macys.com/is/image/MCY/19728299 ")</f>
        <v xml:space="preserve">http://slimages.macys.com/is/image/MCY/19728299 </v>
      </c>
      <c r="O50" s="30"/>
    </row>
    <row r="51" spans="1:15" ht="48" x14ac:dyDescent="0.25">
      <c r="A51" s="19" t="s">
        <v>5324</v>
      </c>
      <c r="B51" s="17" t="s">
        <v>5323</v>
      </c>
      <c r="C51" s="20">
        <v>1</v>
      </c>
      <c r="D51" s="18">
        <v>39.35</v>
      </c>
      <c r="E51" s="18">
        <v>104.25</v>
      </c>
      <c r="F51" s="20" t="s">
        <v>5322</v>
      </c>
      <c r="G51" s="17" t="s">
        <v>282</v>
      </c>
      <c r="H51" s="19" t="s">
        <v>1445</v>
      </c>
      <c r="I51" s="18">
        <v>26.233333333333334</v>
      </c>
      <c r="J51" s="17" t="s">
        <v>358</v>
      </c>
      <c r="K51" s="17" t="s">
        <v>32</v>
      </c>
      <c r="L51" s="17"/>
      <c r="M51" s="17"/>
      <c r="N51" s="16" t="str">
        <f>HYPERLINK("http://slimages.macys.com/is/image/MCY/19728299 ")</f>
        <v xml:space="preserve">http://slimages.macys.com/is/image/MCY/19728299 </v>
      </c>
      <c r="O51" s="30"/>
    </row>
    <row r="52" spans="1:15" ht="48" x14ac:dyDescent="0.25">
      <c r="A52" s="19" t="s">
        <v>5321</v>
      </c>
      <c r="B52" s="17" t="s">
        <v>5320</v>
      </c>
      <c r="C52" s="20">
        <v>1</v>
      </c>
      <c r="D52" s="18">
        <v>39.06</v>
      </c>
      <c r="E52" s="18">
        <v>118</v>
      </c>
      <c r="F52" s="20" t="s">
        <v>2160</v>
      </c>
      <c r="G52" s="17" t="s">
        <v>28</v>
      </c>
      <c r="H52" s="19" t="s">
        <v>898</v>
      </c>
      <c r="I52" s="18">
        <v>26.040000000000003</v>
      </c>
      <c r="J52" s="17" t="s">
        <v>49</v>
      </c>
      <c r="K52" s="17" t="s">
        <v>48</v>
      </c>
      <c r="L52" s="17"/>
      <c r="M52" s="17"/>
      <c r="N52" s="16" t="str">
        <f>HYPERLINK("http://slimages.macys.com/is/image/MCY/19349047 ")</f>
        <v xml:space="preserve">http://slimages.macys.com/is/image/MCY/19349047 </v>
      </c>
      <c r="O52" s="30"/>
    </row>
    <row r="53" spans="1:15" ht="48" x14ac:dyDescent="0.25">
      <c r="A53" s="19" t="s">
        <v>5319</v>
      </c>
      <c r="B53" s="17" t="s">
        <v>5318</v>
      </c>
      <c r="C53" s="20">
        <v>1</v>
      </c>
      <c r="D53" s="18">
        <v>39</v>
      </c>
      <c r="E53" s="18">
        <v>109.99</v>
      </c>
      <c r="F53" s="20">
        <v>50039757</v>
      </c>
      <c r="G53" s="17" t="s">
        <v>919</v>
      </c>
      <c r="H53" s="19" t="s">
        <v>916</v>
      </c>
      <c r="I53" s="18">
        <v>26</v>
      </c>
      <c r="J53" s="17" t="s">
        <v>879</v>
      </c>
      <c r="K53" s="17" t="s">
        <v>850</v>
      </c>
      <c r="L53" s="17"/>
      <c r="M53" s="17"/>
      <c r="N53" s="16" t="str">
        <f>HYPERLINK("http://slimages.macys.com/is/image/MCY/18090992 ")</f>
        <v xml:space="preserve">http://slimages.macys.com/is/image/MCY/18090992 </v>
      </c>
      <c r="O53" s="30"/>
    </row>
    <row r="54" spans="1:15" ht="48" x14ac:dyDescent="0.25">
      <c r="A54" s="19" t="s">
        <v>5317</v>
      </c>
      <c r="B54" s="17" t="s">
        <v>5316</v>
      </c>
      <c r="C54" s="20">
        <v>3</v>
      </c>
      <c r="D54" s="18">
        <v>38.99</v>
      </c>
      <c r="E54" s="18">
        <v>139</v>
      </c>
      <c r="F54" s="20" t="s">
        <v>5313</v>
      </c>
      <c r="G54" s="17" t="s">
        <v>263</v>
      </c>
      <c r="H54" s="19" t="s">
        <v>898</v>
      </c>
      <c r="I54" s="18">
        <v>25.993333333333336</v>
      </c>
      <c r="J54" s="17" t="s">
        <v>820</v>
      </c>
      <c r="K54" s="17" t="s">
        <v>67</v>
      </c>
      <c r="L54" s="17"/>
      <c r="M54" s="17"/>
      <c r="N54" s="16" t="str">
        <f>HYPERLINK("http://slimages.macys.com/is/image/MCY/18690593 ")</f>
        <v xml:space="preserve">http://slimages.macys.com/is/image/MCY/18690593 </v>
      </c>
      <c r="O54" s="30"/>
    </row>
    <row r="55" spans="1:15" ht="48" x14ac:dyDescent="0.25">
      <c r="A55" s="19" t="s">
        <v>5315</v>
      </c>
      <c r="B55" s="17" t="s">
        <v>5314</v>
      </c>
      <c r="C55" s="20">
        <v>3</v>
      </c>
      <c r="D55" s="18">
        <v>38.99</v>
      </c>
      <c r="E55" s="18">
        <v>139</v>
      </c>
      <c r="F55" s="20" t="s">
        <v>5313</v>
      </c>
      <c r="G55" s="17" t="s">
        <v>263</v>
      </c>
      <c r="H55" s="19" t="s">
        <v>698</v>
      </c>
      <c r="I55" s="18">
        <v>25.993333333333336</v>
      </c>
      <c r="J55" s="17" t="s">
        <v>820</v>
      </c>
      <c r="K55" s="17" t="s">
        <v>67</v>
      </c>
      <c r="L55" s="17"/>
      <c r="M55" s="17"/>
      <c r="N55" s="16" t="str">
        <f>HYPERLINK("http://slimages.macys.com/is/image/MCY/18690593 ")</f>
        <v xml:space="preserve">http://slimages.macys.com/is/image/MCY/18690593 </v>
      </c>
      <c r="O55" s="30"/>
    </row>
    <row r="56" spans="1:15" ht="48" x14ac:dyDescent="0.25">
      <c r="A56" s="19" t="s">
        <v>5312</v>
      </c>
      <c r="B56" s="17" t="s">
        <v>5311</v>
      </c>
      <c r="C56" s="20">
        <v>1</v>
      </c>
      <c r="D56" s="18">
        <v>38.979999999999997</v>
      </c>
      <c r="E56" s="18">
        <v>139</v>
      </c>
      <c r="F56" s="20" t="s">
        <v>5310</v>
      </c>
      <c r="G56" s="17" t="s">
        <v>58</v>
      </c>
      <c r="H56" s="19" t="s">
        <v>682</v>
      </c>
      <c r="I56" s="18">
        <v>25.986666666666668</v>
      </c>
      <c r="J56" s="17" t="s">
        <v>820</v>
      </c>
      <c r="K56" s="17" t="s">
        <v>67</v>
      </c>
      <c r="L56" s="17"/>
      <c r="M56" s="17"/>
      <c r="N56" s="16" t="str">
        <f>HYPERLINK("http://slimages.macys.com/is/image/MCY/19324784 ")</f>
        <v xml:space="preserve">http://slimages.macys.com/is/image/MCY/19324784 </v>
      </c>
      <c r="O56" s="30"/>
    </row>
    <row r="57" spans="1:15" ht="48" x14ac:dyDescent="0.25">
      <c r="A57" s="19" t="s">
        <v>5309</v>
      </c>
      <c r="B57" s="17" t="s">
        <v>5308</v>
      </c>
      <c r="C57" s="20">
        <v>1</v>
      </c>
      <c r="D57" s="18">
        <v>38.700000000000003</v>
      </c>
      <c r="E57" s="18">
        <v>129</v>
      </c>
      <c r="F57" s="20">
        <v>10797714</v>
      </c>
      <c r="G57" s="17" t="s">
        <v>149</v>
      </c>
      <c r="H57" s="19" t="s">
        <v>271</v>
      </c>
      <c r="I57" s="18">
        <v>25.8</v>
      </c>
      <c r="J57" s="17" t="s">
        <v>358</v>
      </c>
      <c r="K57" s="17" t="s">
        <v>554</v>
      </c>
      <c r="L57" s="17"/>
      <c r="M57" s="17"/>
      <c r="N57" s="16" t="str">
        <f>HYPERLINK("http://slimages.macys.com/is/image/MCY/18520528 ")</f>
        <v xml:space="preserve">http://slimages.macys.com/is/image/MCY/18520528 </v>
      </c>
      <c r="O57" s="30"/>
    </row>
    <row r="58" spans="1:15" ht="48" x14ac:dyDescent="0.25">
      <c r="A58" s="19" t="s">
        <v>4713</v>
      </c>
      <c r="B58" s="17" t="s">
        <v>4712</v>
      </c>
      <c r="C58" s="20">
        <v>1</v>
      </c>
      <c r="D58" s="18">
        <v>38.700000000000003</v>
      </c>
      <c r="E58" s="18">
        <v>129</v>
      </c>
      <c r="F58" s="20">
        <v>10803246</v>
      </c>
      <c r="G58" s="17" t="s">
        <v>282</v>
      </c>
      <c r="H58" s="19" t="s">
        <v>351</v>
      </c>
      <c r="I58" s="18">
        <v>25.8</v>
      </c>
      <c r="J58" s="17" t="s">
        <v>358</v>
      </c>
      <c r="K58" s="17" t="s">
        <v>554</v>
      </c>
      <c r="L58" s="17"/>
      <c r="M58" s="17"/>
      <c r="N58" s="16" t="str">
        <f>HYPERLINK("http://slimages.macys.com/is/image/MCY/19205618 ")</f>
        <v xml:space="preserve">http://slimages.macys.com/is/image/MCY/19205618 </v>
      </c>
      <c r="O58" s="30"/>
    </row>
    <row r="59" spans="1:15" ht="48" x14ac:dyDescent="0.25">
      <c r="A59" s="19" t="s">
        <v>4008</v>
      </c>
      <c r="B59" s="17" t="s">
        <v>4007</v>
      </c>
      <c r="C59" s="20">
        <v>74</v>
      </c>
      <c r="D59" s="18">
        <v>38.700000000000003</v>
      </c>
      <c r="E59" s="18">
        <v>129</v>
      </c>
      <c r="F59" s="20">
        <v>10803246</v>
      </c>
      <c r="G59" s="17" t="s">
        <v>282</v>
      </c>
      <c r="H59" s="19" t="s">
        <v>139</v>
      </c>
      <c r="I59" s="18">
        <v>25.8</v>
      </c>
      <c r="J59" s="17" t="s">
        <v>358</v>
      </c>
      <c r="K59" s="17" t="s">
        <v>554</v>
      </c>
      <c r="L59" s="17"/>
      <c r="M59" s="17"/>
      <c r="N59" s="16" t="str">
        <f>HYPERLINK("http://slimages.macys.com/is/image/MCY/19205618 ")</f>
        <v xml:space="preserve">http://slimages.macys.com/is/image/MCY/19205618 </v>
      </c>
      <c r="O59" s="30"/>
    </row>
    <row r="60" spans="1:15" ht="48" x14ac:dyDescent="0.25">
      <c r="A60" s="19" t="s">
        <v>5307</v>
      </c>
      <c r="B60" s="17" t="s">
        <v>5306</v>
      </c>
      <c r="C60" s="20">
        <v>1</v>
      </c>
      <c r="D60" s="18">
        <v>38.700000000000003</v>
      </c>
      <c r="E60" s="18">
        <v>129</v>
      </c>
      <c r="F60" s="20">
        <v>10803246</v>
      </c>
      <c r="G60" s="17" t="s">
        <v>282</v>
      </c>
      <c r="H60" s="19" t="s">
        <v>271</v>
      </c>
      <c r="I60" s="18">
        <v>25.8</v>
      </c>
      <c r="J60" s="17" t="s">
        <v>358</v>
      </c>
      <c r="K60" s="17" t="s">
        <v>554</v>
      </c>
      <c r="L60" s="17"/>
      <c r="M60" s="17"/>
      <c r="N60" s="16" t="str">
        <f>HYPERLINK("http://slimages.macys.com/is/image/MCY/19205618 ")</f>
        <v xml:space="preserve">http://slimages.macys.com/is/image/MCY/19205618 </v>
      </c>
      <c r="O60" s="30"/>
    </row>
    <row r="61" spans="1:15" ht="48" x14ac:dyDescent="0.25">
      <c r="A61" s="19" t="s">
        <v>5305</v>
      </c>
      <c r="B61" s="17" t="s">
        <v>5304</v>
      </c>
      <c r="C61" s="20">
        <v>1</v>
      </c>
      <c r="D61" s="18">
        <v>37.26</v>
      </c>
      <c r="E61" s="18">
        <v>138</v>
      </c>
      <c r="F61" s="20" t="s">
        <v>5303</v>
      </c>
      <c r="G61" s="17" t="s">
        <v>508</v>
      </c>
      <c r="H61" s="19" t="s">
        <v>116</v>
      </c>
      <c r="I61" s="18">
        <v>24.84</v>
      </c>
      <c r="J61" s="17" t="s">
        <v>115</v>
      </c>
      <c r="K61" s="17" t="s">
        <v>742</v>
      </c>
      <c r="L61" s="17"/>
      <c r="M61" s="17"/>
      <c r="N61" s="16" t="str">
        <f>HYPERLINK("http://slimages.macys.com/is/image/MCY/19107812 ")</f>
        <v xml:space="preserve">http://slimages.macys.com/is/image/MCY/19107812 </v>
      </c>
      <c r="O61" s="30"/>
    </row>
    <row r="62" spans="1:15" ht="108" x14ac:dyDescent="0.25">
      <c r="A62" s="19" t="s">
        <v>5302</v>
      </c>
      <c r="B62" s="17" t="s">
        <v>5301</v>
      </c>
      <c r="C62" s="20">
        <v>1</v>
      </c>
      <c r="D62" s="18">
        <v>37</v>
      </c>
      <c r="E62" s="18">
        <v>99.99</v>
      </c>
      <c r="F62" s="20">
        <v>50038275</v>
      </c>
      <c r="G62" s="17" t="s">
        <v>623</v>
      </c>
      <c r="H62" s="19" t="s">
        <v>96</v>
      </c>
      <c r="I62" s="18">
        <v>24.666666666666668</v>
      </c>
      <c r="J62" s="17" t="s">
        <v>854</v>
      </c>
      <c r="K62" s="17" t="s">
        <v>850</v>
      </c>
      <c r="L62" s="17" t="s">
        <v>389</v>
      </c>
      <c r="M62" s="17" t="s">
        <v>2147</v>
      </c>
      <c r="N62" s="16" t="str">
        <f>HYPERLINK("http://slimages.macys.com/is/image/MCY/11778866 ")</f>
        <v xml:space="preserve">http://slimages.macys.com/is/image/MCY/11778866 </v>
      </c>
      <c r="O62" s="30"/>
    </row>
    <row r="63" spans="1:15" ht="48" x14ac:dyDescent="0.25">
      <c r="A63" s="19" t="s">
        <v>5300</v>
      </c>
      <c r="B63" s="17" t="s">
        <v>5299</v>
      </c>
      <c r="C63" s="20">
        <v>1</v>
      </c>
      <c r="D63" s="18">
        <v>37</v>
      </c>
      <c r="E63" s="18">
        <v>99.99</v>
      </c>
      <c r="F63" s="20">
        <v>50038165</v>
      </c>
      <c r="G63" s="17" t="s">
        <v>23</v>
      </c>
      <c r="H63" s="19" t="s">
        <v>1191</v>
      </c>
      <c r="I63" s="18">
        <v>24.666666666666668</v>
      </c>
      <c r="J63" s="17" t="s">
        <v>879</v>
      </c>
      <c r="K63" s="17" t="s">
        <v>850</v>
      </c>
      <c r="L63" s="17" t="s">
        <v>389</v>
      </c>
      <c r="M63" s="17" t="s">
        <v>1167</v>
      </c>
      <c r="N63" s="16" t="str">
        <f>HYPERLINK("http://slimages.macys.com/is/image/MCY/11955240 ")</f>
        <v xml:space="preserve">http://slimages.macys.com/is/image/MCY/11955240 </v>
      </c>
      <c r="O63" s="30"/>
    </row>
    <row r="64" spans="1:15" ht="48" x14ac:dyDescent="0.25">
      <c r="A64" s="19" t="s">
        <v>5298</v>
      </c>
      <c r="B64" s="17" t="s">
        <v>5297</v>
      </c>
      <c r="C64" s="20">
        <v>1</v>
      </c>
      <c r="D64" s="18">
        <v>36.89</v>
      </c>
      <c r="E64" s="18">
        <v>119</v>
      </c>
      <c r="F64" s="20">
        <v>10758684</v>
      </c>
      <c r="G64" s="17" t="s">
        <v>1408</v>
      </c>
      <c r="H64" s="19" t="s">
        <v>658</v>
      </c>
      <c r="I64" s="18">
        <v>24.593333333333334</v>
      </c>
      <c r="J64" s="17" t="s">
        <v>144</v>
      </c>
      <c r="K64" s="17" t="s">
        <v>143</v>
      </c>
      <c r="L64" s="17"/>
      <c r="M64" s="17"/>
      <c r="N64" s="16" t="str">
        <f>HYPERLINK("http://slimages.macys.com/is/image/MCY/16686480 ")</f>
        <v xml:space="preserve">http://slimages.macys.com/is/image/MCY/16686480 </v>
      </c>
      <c r="O64" s="30"/>
    </row>
    <row r="65" spans="1:15" ht="48" x14ac:dyDescent="0.25">
      <c r="A65" s="19" t="s">
        <v>5296</v>
      </c>
      <c r="B65" s="17" t="s">
        <v>5295</v>
      </c>
      <c r="C65" s="20">
        <v>1</v>
      </c>
      <c r="D65" s="18">
        <v>36.89</v>
      </c>
      <c r="E65" s="18">
        <v>119</v>
      </c>
      <c r="F65" s="20">
        <v>10769524</v>
      </c>
      <c r="G65" s="17" t="s">
        <v>28</v>
      </c>
      <c r="H65" s="19" t="s">
        <v>69</v>
      </c>
      <c r="I65" s="18">
        <v>24.593333333333334</v>
      </c>
      <c r="J65" s="17" t="s">
        <v>144</v>
      </c>
      <c r="K65" s="17" t="s">
        <v>143</v>
      </c>
      <c r="L65" s="17"/>
      <c r="M65" s="17"/>
      <c r="N65" s="16" t="str">
        <f>HYPERLINK("http://slimages.macys.com/is/image/MCY/19095556 ")</f>
        <v xml:space="preserve">http://slimages.macys.com/is/image/MCY/19095556 </v>
      </c>
      <c r="O65" s="30"/>
    </row>
    <row r="66" spans="1:15" ht="72" x14ac:dyDescent="0.25">
      <c r="A66" s="19" t="s">
        <v>5294</v>
      </c>
      <c r="B66" s="17" t="s">
        <v>5293</v>
      </c>
      <c r="C66" s="20">
        <v>1</v>
      </c>
      <c r="D66" s="18">
        <v>36.14</v>
      </c>
      <c r="E66" s="18">
        <v>139</v>
      </c>
      <c r="F66" s="20" t="s">
        <v>5292</v>
      </c>
      <c r="G66" s="17" t="s">
        <v>1356</v>
      </c>
      <c r="H66" s="19" t="s">
        <v>5291</v>
      </c>
      <c r="I66" s="18">
        <v>24.093333333333334</v>
      </c>
      <c r="J66" s="17" t="s">
        <v>115</v>
      </c>
      <c r="K66" s="17" t="s">
        <v>1367</v>
      </c>
      <c r="L66" s="17" t="s">
        <v>389</v>
      </c>
      <c r="M66" s="17" t="s">
        <v>5290</v>
      </c>
      <c r="N66" s="16" t="str">
        <f>HYPERLINK("http://slimages.macys.com/is/image/MCY/9866722 ")</f>
        <v xml:space="preserve">http://slimages.macys.com/is/image/MCY/9866722 </v>
      </c>
      <c r="O66" s="30"/>
    </row>
    <row r="67" spans="1:15" ht="48" x14ac:dyDescent="0.25">
      <c r="A67" s="19" t="s">
        <v>5289</v>
      </c>
      <c r="B67" s="17" t="s">
        <v>5288</v>
      </c>
      <c r="C67" s="20">
        <v>1</v>
      </c>
      <c r="D67" s="18">
        <v>36.119999999999997</v>
      </c>
      <c r="E67" s="18">
        <v>129</v>
      </c>
      <c r="F67" s="20" t="s">
        <v>5285</v>
      </c>
      <c r="G67" s="17" t="s">
        <v>263</v>
      </c>
      <c r="H67" s="19" t="s">
        <v>698</v>
      </c>
      <c r="I67" s="18">
        <v>24.080000000000002</v>
      </c>
      <c r="J67" s="17" t="s">
        <v>820</v>
      </c>
      <c r="K67" s="17" t="s">
        <v>67</v>
      </c>
      <c r="L67" s="17"/>
      <c r="M67" s="17"/>
      <c r="N67" s="16" t="str">
        <f>HYPERLINK("http://slimages.macys.com/is/image/MCY/19909815 ")</f>
        <v xml:space="preserve">http://slimages.macys.com/is/image/MCY/19909815 </v>
      </c>
      <c r="O67" s="30"/>
    </row>
    <row r="68" spans="1:15" ht="48" x14ac:dyDescent="0.25">
      <c r="A68" s="19" t="s">
        <v>5287</v>
      </c>
      <c r="B68" s="17" t="s">
        <v>5286</v>
      </c>
      <c r="C68" s="20">
        <v>1</v>
      </c>
      <c r="D68" s="18">
        <v>36.119999999999997</v>
      </c>
      <c r="E68" s="18">
        <v>129</v>
      </c>
      <c r="F68" s="20" t="s">
        <v>5285</v>
      </c>
      <c r="G68" s="17" t="s">
        <v>263</v>
      </c>
      <c r="H68" s="19" t="s">
        <v>682</v>
      </c>
      <c r="I68" s="18">
        <v>24.080000000000002</v>
      </c>
      <c r="J68" s="17" t="s">
        <v>820</v>
      </c>
      <c r="K68" s="17" t="s">
        <v>67</v>
      </c>
      <c r="L68" s="17"/>
      <c r="M68" s="17"/>
      <c r="N68" s="16" t="str">
        <f>HYPERLINK("http://slimages.macys.com/is/image/MCY/19909815 ")</f>
        <v xml:space="preserve">http://slimages.macys.com/is/image/MCY/19909815 </v>
      </c>
      <c r="O68" s="30"/>
    </row>
    <row r="69" spans="1:15" ht="84" x14ac:dyDescent="0.25">
      <c r="A69" s="19" t="s">
        <v>5284</v>
      </c>
      <c r="B69" s="17" t="s">
        <v>5283</v>
      </c>
      <c r="C69" s="20">
        <v>1</v>
      </c>
      <c r="D69" s="18">
        <v>36</v>
      </c>
      <c r="E69" s="18">
        <v>139</v>
      </c>
      <c r="F69" s="20" t="s">
        <v>5282</v>
      </c>
      <c r="G69" s="17" t="s">
        <v>51</v>
      </c>
      <c r="H69" s="19" t="s">
        <v>5281</v>
      </c>
      <c r="I69" s="18">
        <v>24</v>
      </c>
      <c r="J69" s="17" t="s">
        <v>550</v>
      </c>
      <c r="K69" s="17" t="s">
        <v>1090</v>
      </c>
      <c r="L69" s="17" t="s">
        <v>389</v>
      </c>
      <c r="M69" s="17" t="s">
        <v>5280</v>
      </c>
      <c r="N69" s="16" t="str">
        <f>HYPERLINK("http://slimages.macys.com/is/image/MCY/9243519 ")</f>
        <v xml:space="preserve">http://slimages.macys.com/is/image/MCY/9243519 </v>
      </c>
      <c r="O69" s="30"/>
    </row>
    <row r="70" spans="1:15" ht="48" x14ac:dyDescent="0.25">
      <c r="A70" s="19" t="s">
        <v>5279</v>
      </c>
      <c r="B70" s="17" t="s">
        <v>5278</v>
      </c>
      <c r="C70" s="20">
        <v>1</v>
      </c>
      <c r="D70" s="18">
        <v>35.75</v>
      </c>
      <c r="E70" s="18">
        <v>108</v>
      </c>
      <c r="F70" s="20" t="s">
        <v>5277</v>
      </c>
      <c r="G70" s="17" t="s">
        <v>575</v>
      </c>
      <c r="H70" s="19" t="s">
        <v>17</v>
      </c>
      <c r="I70" s="18">
        <v>23.833333333333336</v>
      </c>
      <c r="J70" s="17" t="s">
        <v>49</v>
      </c>
      <c r="K70" s="17" t="s">
        <v>48</v>
      </c>
      <c r="L70" s="17"/>
      <c r="M70" s="17"/>
      <c r="N70" s="16" t="str">
        <f>HYPERLINK("http://slimages.macys.com/is/image/MCY/19635015 ")</f>
        <v xml:space="preserve">http://slimages.macys.com/is/image/MCY/19635015 </v>
      </c>
      <c r="O70" s="30"/>
    </row>
    <row r="71" spans="1:15" ht="48" x14ac:dyDescent="0.25">
      <c r="A71" s="19" t="s">
        <v>5276</v>
      </c>
      <c r="B71" s="17" t="s">
        <v>5275</v>
      </c>
      <c r="C71" s="20">
        <v>1</v>
      </c>
      <c r="D71" s="18">
        <v>35.75</v>
      </c>
      <c r="E71" s="18">
        <v>108</v>
      </c>
      <c r="F71" s="20" t="s">
        <v>5274</v>
      </c>
      <c r="G71" s="17" t="s">
        <v>345</v>
      </c>
      <c r="H71" s="19" t="s">
        <v>62</v>
      </c>
      <c r="I71" s="18">
        <v>23.833333333333336</v>
      </c>
      <c r="J71" s="17" t="s">
        <v>49</v>
      </c>
      <c r="K71" s="17" t="s">
        <v>48</v>
      </c>
      <c r="L71" s="17"/>
      <c r="M71" s="17"/>
      <c r="N71" s="16" t="str">
        <f>HYPERLINK("http://slimages.macys.com/is/image/MCY/19413521 ")</f>
        <v xml:space="preserve">http://slimages.macys.com/is/image/MCY/19413521 </v>
      </c>
      <c r="O71" s="30"/>
    </row>
    <row r="72" spans="1:15" ht="48" x14ac:dyDescent="0.25">
      <c r="A72" s="19" t="s">
        <v>5273</v>
      </c>
      <c r="B72" s="17" t="s">
        <v>5272</v>
      </c>
      <c r="C72" s="20">
        <v>1</v>
      </c>
      <c r="D72" s="18">
        <v>35</v>
      </c>
      <c r="E72" s="18">
        <v>89.99</v>
      </c>
      <c r="F72" s="20">
        <v>50039711</v>
      </c>
      <c r="G72" s="17" t="s">
        <v>237</v>
      </c>
      <c r="H72" s="19" t="s">
        <v>658</v>
      </c>
      <c r="I72" s="18">
        <v>23.333333333333336</v>
      </c>
      <c r="J72" s="17" t="s">
        <v>854</v>
      </c>
      <c r="K72" s="17" t="s">
        <v>850</v>
      </c>
      <c r="L72" s="17"/>
      <c r="M72" s="17"/>
      <c r="N72" s="16" t="str">
        <f>HYPERLINK("http://slimages.macys.com/is/image/MCY/18075321 ")</f>
        <v xml:space="preserve">http://slimages.macys.com/is/image/MCY/18075321 </v>
      </c>
      <c r="O72" s="30"/>
    </row>
    <row r="73" spans="1:15" ht="60" x14ac:dyDescent="0.25">
      <c r="A73" s="19" t="s">
        <v>5271</v>
      </c>
      <c r="B73" s="17" t="s">
        <v>5270</v>
      </c>
      <c r="C73" s="20">
        <v>1</v>
      </c>
      <c r="D73" s="18">
        <v>35</v>
      </c>
      <c r="E73" s="18">
        <v>79.989999999999995</v>
      </c>
      <c r="F73" s="20">
        <v>50038707</v>
      </c>
      <c r="G73" s="17" t="s">
        <v>555</v>
      </c>
      <c r="H73" s="19" t="s">
        <v>116</v>
      </c>
      <c r="I73" s="18">
        <v>23.333333333333336</v>
      </c>
      <c r="J73" s="17" t="s">
        <v>854</v>
      </c>
      <c r="K73" s="17" t="s">
        <v>850</v>
      </c>
      <c r="L73" s="17" t="s">
        <v>389</v>
      </c>
      <c r="M73" s="17" t="s">
        <v>1390</v>
      </c>
      <c r="N73" s="16" t="str">
        <f>HYPERLINK("http://slimages.macys.com/is/image/MCY/14725615 ")</f>
        <v xml:space="preserve">http://slimages.macys.com/is/image/MCY/14725615 </v>
      </c>
      <c r="O73" s="30"/>
    </row>
    <row r="74" spans="1:15" ht="48" x14ac:dyDescent="0.25">
      <c r="A74" s="19" t="s">
        <v>5269</v>
      </c>
      <c r="B74" s="17" t="s">
        <v>5268</v>
      </c>
      <c r="C74" s="20">
        <v>1</v>
      </c>
      <c r="D74" s="18">
        <v>35</v>
      </c>
      <c r="E74" s="18">
        <v>89.99</v>
      </c>
      <c r="F74" s="20">
        <v>50039479</v>
      </c>
      <c r="G74" s="17" t="s">
        <v>44</v>
      </c>
      <c r="H74" s="19" t="s">
        <v>698</v>
      </c>
      <c r="I74" s="18">
        <v>23.333333333333336</v>
      </c>
      <c r="J74" s="17" t="s">
        <v>854</v>
      </c>
      <c r="K74" s="17" t="s">
        <v>850</v>
      </c>
      <c r="L74" s="17"/>
      <c r="M74" s="17"/>
      <c r="N74" s="16" t="str">
        <f>HYPERLINK("http://slimages.macys.com/is/image/MCY/17969326 ")</f>
        <v xml:space="preserve">http://slimages.macys.com/is/image/MCY/17969326 </v>
      </c>
      <c r="O74" s="30"/>
    </row>
    <row r="75" spans="1:15" ht="48" x14ac:dyDescent="0.25">
      <c r="A75" s="19" t="s">
        <v>5267</v>
      </c>
      <c r="B75" s="17" t="s">
        <v>5266</v>
      </c>
      <c r="C75" s="20">
        <v>1</v>
      </c>
      <c r="D75" s="18">
        <v>35</v>
      </c>
      <c r="E75" s="18">
        <v>89.99</v>
      </c>
      <c r="F75" s="20">
        <v>50039771</v>
      </c>
      <c r="G75" s="17" t="s">
        <v>63</v>
      </c>
      <c r="H75" s="19" t="s">
        <v>116</v>
      </c>
      <c r="I75" s="18">
        <v>23.333333333333336</v>
      </c>
      <c r="J75" s="17" t="s">
        <v>854</v>
      </c>
      <c r="K75" s="17" t="s">
        <v>850</v>
      </c>
      <c r="L75" s="17"/>
      <c r="M75" s="17"/>
      <c r="N75" s="16" t="str">
        <f>HYPERLINK("http://slimages.macys.com/is/image/MCY/18075269 ")</f>
        <v xml:space="preserve">http://slimages.macys.com/is/image/MCY/18075269 </v>
      </c>
      <c r="O75" s="30"/>
    </row>
    <row r="76" spans="1:15" ht="48" x14ac:dyDescent="0.25">
      <c r="A76" s="19" t="s">
        <v>5265</v>
      </c>
      <c r="B76" s="17" t="s">
        <v>5264</v>
      </c>
      <c r="C76" s="20">
        <v>1</v>
      </c>
      <c r="D76" s="18">
        <v>35</v>
      </c>
      <c r="E76" s="18">
        <v>89.99</v>
      </c>
      <c r="F76" s="20">
        <v>50039752</v>
      </c>
      <c r="G76" s="17" t="s">
        <v>51</v>
      </c>
      <c r="H76" s="19" t="s">
        <v>738</v>
      </c>
      <c r="I76" s="18">
        <v>23.333333333333336</v>
      </c>
      <c r="J76" s="17" t="s">
        <v>851</v>
      </c>
      <c r="K76" s="17" t="s">
        <v>850</v>
      </c>
      <c r="L76" s="17"/>
      <c r="M76" s="17"/>
      <c r="N76" s="16" t="str">
        <f>HYPERLINK("http://slimages.macys.com/is/image/MCY/18075314 ")</f>
        <v xml:space="preserve">http://slimages.macys.com/is/image/MCY/18075314 </v>
      </c>
      <c r="O76" s="30"/>
    </row>
    <row r="77" spans="1:15" ht="48" x14ac:dyDescent="0.25">
      <c r="A77" s="19" t="s">
        <v>5263</v>
      </c>
      <c r="B77" s="17" t="s">
        <v>5262</v>
      </c>
      <c r="C77" s="20">
        <v>1</v>
      </c>
      <c r="D77" s="18">
        <v>35</v>
      </c>
      <c r="E77" s="18">
        <v>89.99</v>
      </c>
      <c r="F77" s="20">
        <v>50039768</v>
      </c>
      <c r="G77" s="17" t="s">
        <v>63</v>
      </c>
      <c r="H77" s="19" t="s">
        <v>669</v>
      </c>
      <c r="I77" s="18">
        <v>23.333333333333336</v>
      </c>
      <c r="J77" s="17" t="s">
        <v>851</v>
      </c>
      <c r="K77" s="17" t="s">
        <v>850</v>
      </c>
      <c r="L77" s="17"/>
      <c r="M77" s="17"/>
      <c r="N77" s="16" t="str">
        <f>HYPERLINK("http://slimages.macys.com/is/image/MCY/18075277 ")</f>
        <v xml:space="preserve">http://slimages.macys.com/is/image/MCY/18075277 </v>
      </c>
      <c r="O77" s="30"/>
    </row>
    <row r="78" spans="1:15" ht="48" x14ac:dyDescent="0.25">
      <c r="A78" s="19" t="s">
        <v>5261</v>
      </c>
      <c r="B78" s="17" t="s">
        <v>5260</v>
      </c>
      <c r="C78" s="20">
        <v>1</v>
      </c>
      <c r="D78" s="18">
        <v>35</v>
      </c>
      <c r="E78" s="18">
        <v>89.99</v>
      </c>
      <c r="F78" s="20">
        <v>50039752</v>
      </c>
      <c r="G78" s="17" t="s">
        <v>51</v>
      </c>
      <c r="H78" s="19" t="s">
        <v>669</v>
      </c>
      <c r="I78" s="18">
        <v>23.333333333333336</v>
      </c>
      <c r="J78" s="17" t="s">
        <v>851</v>
      </c>
      <c r="K78" s="17" t="s">
        <v>850</v>
      </c>
      <c r="L78" s="17"/>
      <c r="M78" s="17"/>
      <c r="N78" s="16" t="str">
        <f>HYPERLINK("http://slimages.macys.com/is/image/MCY/18075314 ")</f>
        <v xml:space="preserve">http://slimages.macys.com/is/image/MCY/18075314 </v>
      </c>
      <c r="O78" s="30"/>
    </row>
    <row r="79" spans="1:15" ht="72" x14ac:dyDescent="0.25">
      <c r="A79" s="19" t="s">
        <v>5259</v>
      </c>
      <c r="B79" s="17" t="s">
        <v>5258</v>
      </c>
      <c r="C79" s="20">
        <v>1</v>
      </c>
      <c r="D79" s="18">
        <v>35</v>
      </c>
      <c r="E79" s="18">
        <v>119</v>
      </c>
      <c r="F79" s="20">
        <v>4518806</v>
      </c>
      <c r="G79" s="17" t="s">
        <v>206</v>
      </c>
      <c r="H79" s="19" t="s">
        <v>749</v>
      </c>
      <c r="I79" s="18">
        <v>23.333333333333336</v>
      </c>
      <c r="J79" s="17" t="s">
        <v>550</v>
      </c>
      <c r="K79" s="17" t="s">
        <v>1262</v>
      </c>
      <c r="L79" s="17" t="s">
        <v>389</v>
      </c>
      <c r="M79" s="17" t="s">
        <v>1261</v>
      </c>
      <c r="N79" s="16" t="str">
        <f>HYPERLINK("http://slimages.macys.com/is/image/MCY/16094848 ")</f>
        <v xml:space="preserve">http://slimages.macys.com/is/image/MCY/16094848 </v>
      </c>
      <c r="O79" s="30"/>
    </row>
    <row r="80" spans="1:15" ht="48" x14ac:dyDescent="0.25">
      <c r="A80" s="19" t="s">
        <v>5257</v>
      </c>
      <c r="B80" s="17" t="s">
        <v>5256</v>
      </c>
      <c r="C80" s="20">
        <v>4</v>
      </c>
      <c r="D80" s="18">
        <v>35</v>
      </c>
      <c r="E80" s="18">
        <v>79.989999999999995</v>
      </c>
      <c r="F80" s="20">
        <v>50039411</v>
      </c>
      <c r="G80" s="17" t="s">
        <v>575</v>
      </c>
      <c r="H80" s="19" t="s">
        <v>658</v>
      </c>
      <c r="I80" s="18">
        <v>23.333333333333336</v>
      </c>
      <c r="J80" s="17" t="s">
        <v>854</v>
      </c>
      <c r="K80" s="17" t="s">
        <v>850</v>
      </c>
      <c r="L80" s="17"/>
      <c r="M80" s="17"/>
      <c r="N80" s="16" t="str">
        <f>HYPERLINK("http://slimages.macys.com/is/image/MCY/18180802 ")</f>
        <v xml:space="preserve">http://slimages.macys.com/is/image/MCY/18180802 </v>
      </c>
      <c r="O80" s="30"/>
    </row>
    <row r="81" spans="1:15" ht="48" x14ac:dyDescent="0.25">
      <c r="A81" s="19" t="s">
        <v>5255</v>
      </c>
      <c r="B81" s="17" t="s">
        <v>5254</v>
      </c>
      <c r="C81" s="20">
        <v>1</v>
      </c>
      <c r="D81" s="18">
        <v>35</v>
      </c>
      <c r="E81" s="18">
        <v>89.99</v>
      </c>
      <c r="F81" s="20">
        <v>50039507</v>
      </c>
      <c r="G81" s="17" t="s">
        <v>51</v>
      </c>
      <c r="H81" s="19" t="s">
        <v>698</v>
      </c>
      <c r="I81" s="18">
        <v>23.333333333333336</v>
      </c>
      <c r="J81" s="17" t="s">
        <v>854</v>
      </c>
      <c r="K81" s="17" t="s">
        <v>850</v>
      </c>
      <c r="L81" s="17"/>
      <c r="M81" s="17"/>
      <c r="N81" s="16" t="str">
        <f>HYPERLINK("http://slimages.macys.com/is/image/MCY/17969254 ")</f>
        <v xml:space="preserve">http://slimages.macys.com/is/image/MCY/17969254 </v>
      </c>
      <c r="O81" s="30"/>
    </row>
    <row r="82" spans="1:15" ht="48" x14ac:dyDescent="0.25">
      <c r="A82" s="19" t="s">
        <v>5253</v>
      </c>
      <c r="B82" s="17" t="s">
        <v>5252</v>
      </c>
      <c r="C82" s="20">
        <v>1</v>
      </c>
      <c r="D82" s="18">
        <v>34.75</v>
      </c>
      <c r="E82" s="18">
        <v>139</v>
      </c>
      <c r="F82" s="20">
        <v>10771022</v>
      </c>
      <c r="G82" s="17" t="s">
        <v>575</v>
      </c>
      <c r="H82" s="19" t="s">
        <v>351</v>
      </c>
      <c r="I82" s="18">
        <v>23.166666666666668</v>
      </c>
      <c r="J82" s="17" t="s">
        <v>1307</v>
      </c>
      <c r="K82" s="17" t="s">
        <v>1306</v>
      </c>
      <c r="L82" s="17"/>
      <c r="M82" s="17"/>
      <c r="N82" s="16" t="str">
        <f>HYPERLINK("http://slimages.macys.com/is/image/MCY/18972921 ")</f>
        <v xml:space="preserve">http://slimages.macys.com/is/image/MCY/18972921 </v>
      </c>
      <c r="O82" s="30"/>
    </row>
    <row r="83" spans="1:15" ht="48" x14ac:dyDescent="0.25">
      <c r="A83" s="19" t="s">
        <v>5251</v>
      </c>
      <c r="B83" s="17" t="s">
        <v>5250</v>
      </c>
      <c r="C83" s="20">
        <v>1</v>
      </c>
      <c r="D83" s="18">
        <v>34.51</v>
      </c>
      <c r="E83" s="18">
        <v>119</v>
      </c>
      <c r="F83" s="20">
        <v>10770632</v>
      </c>
      <c r="G83" s="17" t="s">
        <v>23</v>
      </c>
      <c r="H83" s="19" t="s">
        <v>197</v>
      </c>
      <c r="I83" s="18">
        <v>23.006666666666668</v>
      </c>
      <c r="J83" s="17" t="s">
        <v>144</v>
      </c>
      <c r="K83" s="17" t="s">
        <v>143</v>
      </c>
      <c r="L83" s="17"/>
      <c r="M83" s="17"/>
      <c r="N83" s="16" t="str">
        <f>HYPERLINK("http://slimages.macys.com/is/image/MCY/19095865 ")</f>
        <v xml:space="preserve">http://slimages.macys.com/is/image/MCY/19095865 </v>
      </c>
      <c r="O83" s="30"/>
    </row>
    <row r="84" spans="1:15" ht="48" x14ac:dyDescent="0.25">
      <c r="A84" s="19" t="s">
        <v>5249</v>
      </c>
      <c r="B84" s="17" t="s">
        <v>5248</v>
      </c>
      <c r="C84" s="20">
        <v>1</v>
      </c>
      <c r="D84" s="18">
        <v>34.33</v>
      </c>
      <c r="E84" s="18">
        <v>89</v>
      </c>
      <c r="F84" s="20" t="s">
        <v>5245</v>
      </c>
      <c r="G84" s="17" t="s">
        <v>51</v>
      </c>
      <c r="H84" s="19" t="s">
        <v>749</v>
      </c>
      <c r="I84" s="18">
        <v>22.886666666666667</v>
      </c>
      <c r="J84" s="17" t="s">
        <v>4609</v>
      </c>
      <c r="K84" s="17" t="s">
        <v>4608</v>
      </c>
      <c r="L84" s="17"/>
      <c r="M84" s="17"/>
      <c r="N84" s="16" t="str">
        <f>HYPERLINK("http://slimages.macys.com/is/image/MCY/18102438 ")</f>
        <v xml:space="preserve">http://slimages.macys.com/is/image/MCY/18102438 </v>
      </c>
      <c r="O84" s="30"/>
    </row>
    <row r="85" spans="1:15" ht="48" x14ac:dyDescent="0.25">
      <c r="A85" s="19" t="s">
        <v>5247</v>
      </c>
      <c r="B85" s="17" t="s">
        <v>5246</v>
      </c>
      <c r="C85" s="20">
        <v>1</v>
      </c>
      <c r="D85" s="18">
        <v>34.33</v>
      </c>
      <c r="E85" s="18">
        <v>89</v>
      </c>
      <c r="F85" s="20" t="s">
        <v>5245</v>
      </c>
      <c r="G85" s="17" t="s">
        <v>51</v>
      </c>
      <c r="H85" s="19" t="s">
        <v>698</v>
      </c>
      <c r="I85" s="18">
        <v>22.886666666666667</v>
      </c>
      <c r="J85" s="17" t="s">
        <v>4609</v>
      </c>
      <c r="K85" s="17" t="s">
        <v>4608</v>
      </c>
      <c r="L85" s="17"/>
      <c r="M85" s="17"/>
      <c r="N85" s="16" t="str">
        <f>HYPERLINK("http://slimages.macys.com/is/image/MCY/18102438 ")</f>
        <v xml:space="preserve">http://slimages.macys.com/is/image/MCY/18102438 </v>
      </c>
      <c r="O85" s="30"/>
    </row>
    <row r="86" spans="1:15" ht="48" x14ac:dyDescent="0.25">
      <c r="A86" s="19" t="s">
        <v>5244</v>
      </c>
      <c r="B86" s="17" t="s">
        <v>5243</v>
      </c>
      <c r="C86" s="20">
        <v>1</v>
      </c>
      <c r="D86" s="18">
        <v>33.32</v>
      </c>
      <c r="E86" s="18">
        <v>119</v>
      </c>
      <c r="F86" s="20" t="s">
        <v>5242</v>
      </c>
      <c r="G86" s="17" t="s">
        <v>35</v>
      </c>
      <c r="H86" s="19" t="s">
        <v>1968</v>
      </c>
      <c r="I86" s="18">
        <v>22.213333333333335</v>
      </c>
      <c r="J86" s="17" t="s">
        <v>33</v>
      </c>
      <c r="K86" s="17" t="s">
        <v>404</v>
      </c>
      <c r="L86" s="17"/>
      <c r="M86" s="17"/>
      <c r="N86" s="16" t="str">
        <f>HYPERLINK("http://slimages.macys.com/is/image/MCY/18916955 ")</f>
        <v xml:space="preserve">http://slimages.macys.com/is/image/MCY/18916955 </v>
      </c>
      <c r="O86" s="30"/>
    </row>
    <row r="87" spans="1:15" ht="60" x14ac:dyDescent="0.25">
      <c r="A87" s="19" t="s">
        <v>5241</v>
      </c>
      <c r="B87" s="17" t="s">
        <v>5240</v>
      </c>
      <c r="C87" s="20">
        <v>1</v>
      </c>
      <c r="D87" s="18">
        <v>33.090000000000003</v>
      </c>
      <c r="E87" s="18">
        <v>109.5</v>
      </c>
      <c r="F87" s="20" t="s">
        <v>3969</v>
      </c>
      <c r="G87" s="17" t="s">
        <v>272</v>
      </c>
      <c r="H87" s="19" t="s">
        <v>74</v>
      </c>
      <c r="I87" s="18">
        <v>22.060000000000002</v>
      </c>
      <c r="J87" s="17" t="s">
        <v>106</v>
      </c>
      <c r="K87" s="17" t="s">
        <v>105</v>
      </c>
      <c r="L87" s="17"/>
      <c r="M87" s="17"/>
      <c r="N87" s="16" t="str">
        <f>HYPERLINK("http://slimages.macys.com/is/image/MCY/19899858 ")</f>
        <v xml:space="preserve">http://slimages.macys.com/is/image/MCY/19899858 </v>
      </c>
      <c r="O87" s="30"/>
    </row>
    <row r="88" spans="1:15" ht="60" x14ac:dyDescent="0.25">
      <c r="A88" s="19" t="s">
        <v>5239</v>
      </c>
      <c r="B88" s="17" t="s">
        <v>5238</v>
      </c>
      <c r="C88" s="20">
        <v>2</v>
      </c>
      <c r="D88" s="18">
        <v>33.090000000000003</v>
      </c>
      <c r="E88" s="18">
        <v>109.5</v>
      </c>
      <c r="F88" s="20" t="s">
        <v>3969</v>
      </c>
      <c r="G88" s="17" t="s">
        <v>272</v>
      </c>
      <c r="H88" s="19" t="s">
        <v>197</v>
      </c>
      <c r="I88" s="18">
        <v>22.060000000000002</v>
      </c>
      <c r="J88" s="17" t="s">
        <v>106</v>
      </c>
      <c r="K88" s="17" t="s">
        <v>105</v>
      </c>
      <c r="L88" s="17"/>
      <c r="M88" s="17"/>
      <c r="N88" s="16" t="str">
        <f>HYPERLINK("http://slimages.macys.com/is/image/MCY/19899858 ")</f>
        <v xml:space="preserve">http://slimages.macys.com/is/image/MCY/19899858 </v>
      </c>
      <c r="O88" s="30"/>
    </row>
    <row r="89" spans="1:15" ht="48" x14ac:dyDescent="0.25">
      <c r="A89" s="19" t="s">
        <v>5237</v>
      </c>
      <c r="B89" s="17" t="s">
        <v>5236</v>
      </c>
      <c r="C89" s="20">
        <v>1</v>
      </c>
      <c r="D89" s="18">
        <v>32.44</v>
      </c>
      <c r="E89" s="18">
        <v>98</v>
      </c>
      <c r="F89" s="20" t="s">
        <v>5235</v>
      </c>
      <c r="G89" s="17" t="s">
        <v>380</v>
      </c>
      <c r="H89" s="19"/>
      <c r="I89" s="18">
        <v>21.626666666666669</v>
      </c>
      <c r="J89" s="17" t="s">
        <v>49</v>
      </c>
      <c r="K89" s="17" t="s">
        <v>48</v>
      </c>
      <c r="L89" s="17"/>
      <c r="M89" s="17"/>
      <c r="N89" s="16" t="str">
        <f>HYPERLINK("http://slimages.macys.com/is/image/MCY/19644720 ")</f>
        <v xml:space="preserve">http://slimages.macys.com/is/image/MCY/19644720 </v>
      </c>
      <c r="O89" s="30"/>
    </row>
    <row r="90" spans="1:15" ht="48" x14ac:dyDescent="0.25">
      <c r="A90" s="19" t="s">
        <v>5234</v>
      </c>
      <c r="B90" s="17" t="s">
        <v>5233</v>
      </c>
      <c r="C90" s="20">
        <v>1</v>
      </c>
      <c r="D90" s="18">
        <v>32.25</v>
      </c>
      <c r="E90" s="18">
        <v>129</v>
      </c>
      <c r="F90" s="20">
        <v>7021906</v>
      </c>
      <c r="G90" s="17" t="s">
        <v>63</v>
      </c>
      <c r="H90" s="19" t="s">
        <v>698</v>
      </c>
      <c r="I90" s="18">
        <v>21.5</v>
      </c>
      <c r="J90" s="17" t="s">
        <v>111</v>
      </c>
      <c r="K90" s="17" t="s">
        <v>110</v>
      </c>
      <c r="L90" s="17"/>
      <c r="M90" s="17"/>
      <c r="N90" s="16" t="str">
        <f>HYPERLINK("http://slimages.macys.com/is/image/MCY/18744919 ")</f>
        <v xml:space="preserve">http://slimages.macys.com/is/image/MCY/18744919 </v>
      </c>
      <c r="O90" s="30"/>
    </row>
    <row r="91" spans="1:15" ht="48" x14ac:dyDescent="0.25">
      <c r="A91" s="19" t="s">
        <v>5232</v>
      </c>
      <c r="B91" s="17" t="s">
        <v>5231</v>
      </c>
      <c r="C91" s="20">
        <v>2</v>
      </c>
      <c r="D91" s="18">
        <v>31.5</v>
      </c>
      <c r="E91" s="18">
        <v>88</v>
      </c>
      <c r="F91" s="20" t="s">
        <v>5230</v>
      </c>
      <c r="G91" s="17" t="s">
        <v>23</v>
      </c>
      <c r="H91" s="19" t="s">
        <v>74</v>
      </c>
      <c r="I91" s="18">
        <v>21</v>
      </c>
      <c r="J91" s="17" t="s">
        <v>133</v>
      </c>
      <c r="K91" s="17" t="s">
        <v>132</v>
      </c>
      <c r="L91" s="17"/>
      <c r="M91" s="17"/>
      <c r="N91" s="16" t="str">
        <f>HYPERLINK("http://slimages.macys.com/is/image/MCY/19112080 ")</f>
        <v xml:space="preserve">http://slimages.macys.com/is/image/MCY/19112080 </v>
      </c>
      <c r="O91" s="30"/>
    </row>
    <row r="92" spans="1:15" ht="60" x14ac:dyDescent="0.25">
      <c r="A92" s="19" t="s">
        <v>5229</v>
      </c>
      <c r="B92" s="17" t="s">
        <v>5228</v>
      </c>
      <c r="C92" s="20">
        <v>1</v>
      </c>
      <c r="D92" s="18">
        <v>31.19</v>
      </c>
      <c r="E92" s="18">
        <v>74.25</v>
      </c>
      <c r="F92" s="20">
        <v>10543015</v>
      </c>
      <c r="G92" s="17" t="s">
        <v>508</v>
      </c>
      <c r="H92" s="19" t="s">
        <v>4021</v>
      </c>
      <c r="I92" s="18">
        <v>20.793333333333337</v>
      </c>
      <c r="J92" s="17" t="s">
        <v>33</v>
      </c>
      <c r="K92" s="17" t="s">
        <v>143</v>
      </c>
      <c r="L92" s="17" t="s">
        <v>389</v>
      </c>
      <c r="M92" s="17" t="s">
        <v>5227</v>
      </c>
      <c r="N92" s="16" t="str">
        <f>HYPERLINK("http://slimages.macys.com/is/image/MCY/3960072 ")</f>
        <v xml:space="preserve">http://slimages.macys.com/is/image/MCY/3960072 </v>
      </c>
      <c r="O92" s="30"/>
    </row>
    <row r="93" spans="1:15" ht="48" x14ac:dyDescent="0.25">
      <c r="A93" s="19" t="s">
        <v>5226</v>
      </c>
      <c r="B93" s="17" t="s">
        <v>5225</v>
      </c>
      <c r="C93" s="20">
        <v>1</v>
      </c>
      <c r="D93" s="18">
        <v>31.19</v>
      </c>
      <c r="E93" s="18">
        <v>74.25</v>
      </c>
      <c r="F93" s="20">
        <v>10807049</v>
      </c>
      <c r="G93" s="17" t="s">
        <v>413</v>
      </c>
      <c r="H93" s="19" t="s">
        <v>1155</v>
      </c>
      <c r="I93" s="18">
        <v>20.793333333333337</v>
      </c>
      <c r="J93" s="17" t="s">
        <v>33</v>
      </c>
      <c r="K93" s="17" t="s">
        <v>143</v>
      </c>
      <c r="L93" s="17"/>
      <c r="M93" s="17"/>
      <c r="N93" s="16" t="str">
        <f>HYPERLINK("http://slimages.macys.com/is/image/MCY/19433022 ")</f>
        <v xml:space="preserve">http://slimages.macys.com/is/image/MCY/19433022 </v>
      </c>
      <c r="O93" s="30"/>
    </row>
    <row r="94" spans="1:15" ht="72" x14ac:dyDescent="0.25">
      <c r="A94" s="19" t="s">
        <v>5224</v>
      </c>
      <c r="B94" s="17" t="s">
        <v>5223</v>
      </c>
      <c r="C94" s="20">
        <v>1</v>
      </c>
      <c r="D94" s="18">
        <v>31.15</v>
      </c>
      <c r="E94" s="18">
        <v>67</v>
      </c>
      <c r="F94" s="20" t="s">
        <v>3932</v>
      </c>
      <c r="G94" s="17" t="s">
        <v>58</v>
      </c>
      <c r="H94" s="19" t="s">
        <v>874</v>
      </c>
      <c r="I94" s="18">
        <v>20.766666666666669</v>
      </c>
      <c r="J94" s="17" t="s">
        <v>33</v>
      </c>
      <c r="K94" s="17" t="s">
        <v>496</v>
      </c>
      <c r="L94" s="17" t="s">
        <v>389</v>
      </c>
      <c r="M94" s="17" t="s">
        <v>668</v>
      </c>
      <c r="N94" s="16" t="str">
        <f>HYPERLINK("http://slimages.macys.com/is/image/MCY/13585182 ")</f>
        <v xml:space="preserve">http://slimages.macys.com/is/image/MCY/13585182 </v>
      </c>
      <c r="O94" s="30"/>
    </row>
    <row r="95" spans="1:15" ht="72" x14ac:dyDescent="0.25">
      <c r="A95" s="19" t="s">
        <v>5222</v>
      </c>
      <c r="B95" s="17" t="s">
        <v>5221</v>
      </c>
      <c r="C95" s="20">
        <v>1</v>
      </c>
      <c r="D95" s="18">
        <v>31.15</v>
      </c>
      <c r="E95" s="18">
        <v>67</v>
      </c>
      <c r="F95" s="20" t="s">
        <v>3932</v>
      </c>
      <c r="G95" s="17" t="s">
        <v>51</v>
      </c>
      <c r="H95" s="19" t="s">
        <v>669</v>
      </c>
      <c r="I95" s="18">
        <v>20.766666666666669</v>
      </c>
      <c r="J95" s="17" t="s">
        <v>33</v>
      </c>
      <c r="K95" s="17" t="s">
        <v>496</v>
      </c>
      <c r="L95" s="17" t="s">
        <v>389</v>
      </c>
      <c r="M95" s="17" t="s">
        <v>668</v>
      </c>
      <c r="N95" s="16" t="str">
        <f>HYPERLINK("http://slimages.macys.com/is/image/MCY/13585182 ")</f>
        <v xml:space="preserve">http://slimages.macys.com/is/image/MCY/13585182 </v>
      </c>
      <c r="O95" s="30"/>
    </row>
    <row r="96" spans="1:15" ht="72" x14ac:dyDescent="0.25">
      <c r="A96" s="19" t="s">
        <v>5220</v>
      </c>
      <c r="B96" s="17" t="s">
        <v>5219</v>
      </c>
      <c r="C96" s="20">
        <v>1</v>
      </c>
      <c r="D96" s="18">
        <v>31.15</v>
      </c>
      <c r="E96" s="18">
        <v>67</v>
      </c>
      <c r="F96" s="20" t="s">
        <v>3932</v>
      </c>
      <c r="G96" s="17" t="s">
        <v>51</v>
      </c>
      <c r="H96" s="19" t="s">
        <v>874</v>
      </c>
      <c r="I96" s="18">
        <v>20.766666666666669</v>
      </c>
      <c r="J96" s="17" t="s">
        <v>33</v>
      </c>
      <c r="K96" s="17" t="s">
        <v>496</v>
      </c>
      <c r="L96" s="17" t="s">
        <v>389</v>
      </c>
      <c r="M96" s="17" t="s">
        <v>668</v>
      </c>
      <c r="N96" s="16" t="str">
        <f>HYPERLINK("http://slimages.macys.com/is/image/MCY/13585182 ")</f>
        <v xml:space="preserve">http://slimages.macys.com/is/image/MCY/13585182 </v>
      </c>
      <c r="O96" s="30"/>
    </row>
    <row r="97" spans="1:15" ht="48" x14ac:dyDescent="0.25">
      <c r="A97" s="19" t="s">
        <v>5218</v>
      </c>
      <c r="B97" s="17" t="s">
        <v>5217</v>
      </c>
      <c r="C97" s="20">
        <v>1</v>
      </c>
      <c r="D97" s="18">
        <v>31</v>
      </c>
      <c r="E97" s="18">
        <v>78</v>
      </c>
      <c r="F97" s="20">
        <v>1014</v>
      </c>
      <c r="G97" s="17" t="s">
        <v>330</v>
      </c>
      <c r="H97" s="19" t="s">
        <v>57</v>
      </c>
      <c r="I97" s="18">
        <v>20.666666666666668</v>
      </c>
      <c r="J97" s="17" t="s">
        <v>133</v>
      </c>
      <c r="K97" s="17" t="s">
        <v>1480</v>
      </c>
      <c r="L97" s="17"/>
      <c r="M97" s="17"/>
      <c r="N97" s="16" t="str">
        <f>HYPERLINK("http://slimages.macys.com/is/image/MCY/19009264 ")</f>
        <v xml:space="preserve">http://slimages.macys.com/is/image/MCY/19009264 </v>
      </c>
      <c r="O97" s="30"/>
    </row>
    <row r="98" spans="1:15" ht="48" x14ac:dyDescent="0.25">
      <c r="A98" s="19" t="s">
        <v>5216</v>
      </c>
      <c r="B98" s="17" t="s">
        <v>5215</v>
      </c>
      <c r="C98" s="20">
        <v>19</v>
      </c>
      <c r="D98" s="18">
        <v>30.25</v>
      </c>
      <c r="E98" s="18">
        <v>95</v>
      </c>
      <c r="F98" s="20" t="s">
        <v>5214</v>
      </c>
      <c r="G98" s="17" t="s">
        <v>23</v>
      </c>
      <c r="H98" s="19" t="s">
        <v>57</v>
      </c>
      <c r="I98" s="18">
        <v>20.166666666666668</v>
      </c>
      <c r="J98" s="17" t="s">
        <v>80</v>
      </c>
      <c r="K98" s="17" t="s">
        <v>531</v>
      </c>
      <c r="L98" s="17"/>
      <c r="M98" s="17"/>
      <c r="N98" s="16" t="str">
        <f>HYPERLINK("http://slimages.macys.com/is/image/MCY/18371399 ")</f>
        <v xml:space="preserve">http://slimages.macys.com/is/image/MCY/18371399 </v>
      </c>
      <c r="O98" s="30"/>
    </row>
    <row r="99" spans="1:15" ht="48" x14ac:dyDescent="0.25">
      <c r="A99" s="19" t="s">
        <v>5213</v>
      </c>
      <c r="B99" s="17" t="s">
        <v>5212</v>
      </c>
      <c r="C99" s="20">
        <v>1</v>
      </c>
      <c r="D99" s="18">
        <v>30</v>
      </c>
      <c r="E99" s="18">
        <v>79.989999999999995</v>
      </c>
      <c r="F99" s="20">
        <v>50038047</v>
      </c>
      <c r="G99" s="17" t="s">
        <v>578</v>
      </c>
      <c r="H99" s="19" t="s">
        <v>898</v>
      </c>
      <c r="I99" s="18">
        <v>20</v>
      </c>
      <c r="J99" s="17" t="s">
        <v>854</v>
      </c>
      <c r="K99" s="17" t="s">
        <v>850</v>
      </c>
      <c r="L99" s="17"/>
      <c r="M99" s="17"/>
      <c r="N99" s="16" t="str">
        <f>HYPERLINK("http://slimages.macys.com/is/image/MCY/11473459 ")</f>
        <v xml:space="preserve">http://slimages.macys.com/is/image/MCY/11473459 </v>
      </c>
      <c r="O99" s="30"/>
    </row>
    <row r="100" spans="1:15" ht="72" x14ac:dyDescent="0.25">
      <c r="A100" s="19" t="s">
        <v>5211</v>
      </c>
      <c r="B100" s="17" t="s">
        <v>5210</v>
      </c>
      <c r="C100" s="20">
        <v>1</v>
      </c>
      <c r="D100" s="18">
        <v>29.75</v>
      </c>
      <c r="E100" s="18">
        <v>119</v>
      </c>
      <c r="F100" s="20">
        <v>10735184</v>
      </c>
      <c r="G100" s="17" t="s">
        <v>1323</v>
      </c>
      <c r="H100" s="19" t="s">
        <v>857</v>
      </c>
      <c r="I100" s="18">
        <v>19.833333333333336</v>
      </c>
      <c r="J100" s="17" t="s">
        <v>144</v>
      </c>
      <c r="K100" s="17" t="s">
        <v>1211</v>
      </c>
      <c r="L100" s="17" t="s">
        <v>389</v>
      </c>
      <c r="M100" s="17" t="s">
        <v>1322</v>
      </c>
      <c r="N100" s="16" t="str">
        <f>HYPERLINK("http://slimages.macys.com/is/image/MCY/14813291 ")</f>
        <v xml:space="preserve">http://slimages.macys.com/is/image/MCY/14813291 </v>
      </c>
      <c r="O100" s="30"/>
    </row>
    <row r="101" spans="1:15" ht="60" x14ac:dyDescent="0.25">
      <c r="A101" s="19" t="s">
        <v>5209</v>
      </c>
      <c r="B101" s="17" t="s">
        <v>5208</v>
      </c>
      <c r="C101" s="20">
        <v>1</v>
      </c>
      <c r="D101" s="18">
        <v>29.75</v>
      </c>
      <c r="E101" s="18">
        <v>119</v>
      </c>
      <c r="F101" s="20">
        <v>10747904</v>
      </c>
      <c r="G101" s="17" t="s">
        <v>85</v>
      </c>
      <c r="H101" s="19" t="s">
        <v>658</v>
      </c>
      <c r="I101" s="18">
        <v>19.833333333333336</v>
      </c>
      <c r="J101" s="17" t="s">
        <v>144</v>
      </c>
      <c r="K101" s="17" t="s">
        <v>1211</v>
      </c>
      <c r="L101" s="17" t="s">
        <v>389</v>
      </c>
      <c r="M101" s="17" t="s">
        <v>1154</v>
      </c>
      <c r="N101" s="16" t="str">
        <f>HYPERLINK("http://slimages.macys.com/is/image/MCY/16094803 ")</f>
        <v xml:space="preserve">http://slimages.macys.com/is/image/MCY/16094803 </v>
      </c>
      <c r="O101" s="30"/>
    </row>
    <row r="102" spans="1:15" ht="48" x14ac:dyDescent="0.25">
      <c r="A102" s="19" t="s">
        <v>5207</v>
      </c>
      <c r="B102" s="17" t="s">
        <v>5206</v>
      </c>
      <c r="C102" s="20">
        <v>1</v>
      </c>
      <c r="D102" s="18">
        <v>29.7</v>
      </c>
      <c r="E102" s="18">
        <v>99</v>
      </c>
      <c r="F102" s="20" t="s">
        <v>5205</v>
      </c>
      <c r="G102" s="17" t="s">
        <v>58</v>
      </c>
      <c r="H102" s="19" t="s">
        <v>898</v>
      </c>
      <c r="I102" s="18">
        <v>19.8</v>
      </c>
      <c r="J102" s="17" t="s">
        <v>678</v>
      </c>
      <c r="K102" s="17" t="s">
        <v>404</v>
      </c>
      <c r="L102" s="17"/>
      <c r="M102" s="17"/>
      <c r="N102" s="16" t="str">
        <f>HYPERLINK("http://slimages.macys.com/is/image/MCY/19530026 ")</f>
        <v xml:space="preserve">http://slimages.macys.com/is/image/MCY/19530026 </v>
      </c>
      <c r="O102" s="30"/>
    </row>
    <row r="103" spans="1:15" ht="48" x14ac:dyDescent="0.25">
      <c r="A103" s="19" t="s">
        <v>5204</v>
      </c>
      <c r="B103" s="17" t="s">
        <v>3921</v>
      </c>
      <c r="C103" s="20">
        <v>1</v>
      </c>
      <c r="D103" s="18">
        <v>29.7</v>
      </c>
      <c r="E103" s="18">
        <v>74.25</v>
      </c>
      <c r="F103" s="20">
        <v>10649348</v>
      </c>
      <c r="G103" s="17" t="s">
        <v>51</v>
      </c>
      <c r="H103" s="19" t="s">
        <v>351</v>
      </c>
      <c r="I103" s="18">
        <v>19.8</v>
      </c>
      <c r="J103" s="17" t="s">
        <v>358</v>
      </c>
      <c r="K103" s="17" t="s">
        <v>143</v>
      </c>
      <c r="L103" s="17"/>
      <c r="M103" s="17"/>
      <c r="N103" s="16" t="str">
        <f>HYPERLINK("http://slimages.macys.com/is/image/MCY/8796552 ")</f>
        <v xml:space="preserve">http://slimages.macys.com/is/image/MCY/8796552 </v>
      </c>
      <c r="O103" s="30"/>
    </row>
    <row r="104" spans="1:15" ht="48" x14ac:dyDescent="0.25">
      <c r="A104" s="19" t="s">
        <v>5203</v>
      </c>
      <c r="B104" s="17" t="s">
        <v>5202</v>
      </c>
      <c r="C104" s="20">
        <v>1</v>
      </c>
      <c r="D104" s="18">
        <v>29.7</v>
      </c>
      <c r="E104" s="18">
        <v>99</v>
      </c>
      <c r="F104" s="20" t="s">
        <v>5201</v>
      </c>
      <c r="G104" s="17" t="s">
        <v>51</v>
      </c>
      <c r="H104" s="19" t="s">
        <v>773</v>
      </c>
      <c r="I104" s="18">
        <v>19.8</v>
      </c>
      <c r="J104" s="17" t="s">
        <v>678</v>
      </c>
      <c r="K104" s="17" t="s">
        <v>404</v>
      </c>
      <c r="L104" s="17"/>
      <c r="M104" s="17"/>
      <c r="N104" s="16" t="str">
        <f>HYPERLINK("http://slimages.macys.com/is/image/MCY/19831413 ")</f>
        <v xml:space="preserve">http://slimages.macys.com/is/image/MCY/19831413 </v>
      </c>
      <c r="O104" s="30"/>
    </row>
    <row r="105" spans="1:15" ht="48" x14ac:dyDescent="0.25">
      <c r="A105" s="19" t="s">
        <v>5200</v>
      </c>
      <c r="B105" s="17" t="s">
        <v>5199</v>
      </c>
      <c r="C105" s="20">
        <v>1</v>
      </c>
      <c r="D105" s="18">
        <v>29.7</v>
      </c>
      <c r="E105" s="18">
        <v>99</v>
      </c>
      <c r="F105" s="20">
        <v>10805400</v>
      </c>
      <c r="G105" s="17" t="s">
        <v>51</v>
      </c>
      <c r="H105" s="19" t="s">
        <v>197</v>
      </c>
      <c r="I105" s="18">
        <v>19.8</v>
      </c>
      <c r="J105" s="17" t="s">
        <v>115</v>
      </c>
      <c r="K105" s="17" t="s">
        <v>114</v>
      </c>
      <c r="L105" s="17"/>
      <c r="M105" s="17"/>
      <c r="N105" s="16" t="str">
        <f>HYPERLINK("http://slimages.macys.com/is/image/MCY/19626296 ")</f>
        <v xml:space="preserve">http://slimages.macys.com/is/image/MCY/19626296 </v>
      </c>
      <c r="O105" s="30"/>
    </row>
    <row r="106" spans="1:15" ht="48" x14ac:dyDescent="0.25">
      <c r="A106" s="19" t="s">
        <v>5198</v>
      </c>
      <c r="B106" s="17" t="s">
        <v>5197</v>
      </c>
      <c r="C106" s="20">
        <v>1</v>
      </c>
      <c r="D106" s="18">
        <v>29.46</v>
      </c>
      <c r="E106" s="18">
        <v>89</v>
      </c>
      <c r="F106" s="20" t="s">
        <v>5196</v>
      </c>
      <c r="G106" s="17" t="s">
        <v>51</v>
      </c>
      <c r="H106" s="19" t="s">
        <v>50</v>
      </c>
      <c r="I106" s="18">
        <v>19.64</v>
      </c>
      <c r="J106" s="17" t="s">
        <v>49</v>
      </c>
      <c r="K106" s="17" t="s">
        <v>48</v>
      </c>
      <c r="L106" s="17"/>
      <c r="M106" s="17"/>
      <c r="N106" s="16" t="str">
        <f>HYPERLINK("http://slimages.macys.com/is/image/MCY/18534796 ")</f>
        <v xml:space="preserve">http://slimages.macys.com/is/image/MCY/18534796 </v>
      </c>
      <c r="O106" s="30"/>
    </row>
    <row r="107" spans="1:15" ht="48" x14ac:dyDescent="0.25">
      <c r="A107" s="19" t="s">
        <v>5195</v>
      </c>
      <c r="B107" s="17" t="s">
        <v>5194</v>
      </c>
      <c r="C107" s="20">
        <v>1</v>
      </c>
      <c r="D107" s="18">
        <v>29.46</v>
      </c>
      <c r="E107" s="18">
        <v>89</v>
      </c>
      <c r="F107" s="20" t="s">
        <v>2053</v>
      </c>
      <c r="G107" s="17" t="s">
        <v>70</v>
      </c>
      <c r="H107" s="19" t="s">
        <v>22</v>
      </c>
      <c r="I107" s="18">
        <v>19.64</v>
      </c>
      <c r="J107" s="17" t="s">
        <v>49</v>
      </c>
      <c r="K107" s="17" t="s">
        <v>48</v>
      </c>
      <c r="L107" s="17"/>
      <c r="M107" s="17"/>
      <c r="N107" s="16" t="str">
        <f>HYPERLINK("http://slimages.macys.com/is/image/MCY/19352409 ")</f>
        <v xml:space="preserve">http://slimages.macys.com/is/image/MCY/19352409 </v>
      </c>
      <c r="O107" s="30"/>
    </row>
    <row r="108" spans="1:15" ht="48" x14ac:dyDescent="0.25">
      <c r="A108" s="19" t="s">
        <v>5193</v>
      </c>
      <c r="B108" s="17" t="s">
        <v>5192</v>
      </c>
      <c r="C108" s="20">
        <v>1</v>
      </c>
      <c r="D108" s="18">
        <v>28.84</v>
      </c>
      <c r="E108" s="18">
        <v>79</v>
      </c>
      <c r="F108" s="20" t="s">
        <v>3906</v>
      </c>
      <c r="G108" s="17"/>
      <c r="H108" s="19" t="s">
        <v>658</v>
      </c>
      <c r="I108" s="18">
        <v>19.226666666666667</v>
      </c>
      <c r="J108" s="17" t="s">
        <v>1363</v>
      </c>
      <c r="K108" s="17" t="s">
        <v>1362</v>
      </c>
      <c r="L108" s="17"/>
      <c r="M108" s="17"/>
      <c r="N108" s="16" t="str">
        <f>HYPERLINK("http://slimages.macys.com/is/image/MCY/19305186 ")</f>
        <v xml:space="preserve">http://slimages.macys.com/is/image/MCY/19305186 </v>
      </c>
      <c r="O108" s="30"/>
    </row>
    <row r="109" spans="1:15" ht="48" x14ac:dyDescent="0.25">
      <c r="A109" s="19" t="s">
        <v>5191</v>
      </c>
      <c r="B109" s="17" t="s">
        <v>5190</v>
      </c>
      <c r="C109" s="20">
        <v>2</v>
      </c>
      <c r="D109" s="18">
        <v>28.71</v>
      </c>
      <c r="E109" s="18">
        <v>99</v>
      </c>
      <c r="F109" s="20">
        <v>10753152</v>
      </c>
      <c r="G109" s="17" t="s">
        <v>51</v>
      </c>
      <c r="H109" s="19" t="s">
        <v>74</v>
      </c>
      <c r="I109" s="18">
        <v>19.14</v>
      </c>
      <c r="J109" s="17" t="s">
        <v>120</v>
      </c>
      <c r="K109" s="17" t="s">
        <v>119</v>
      </c>
      <c r="L109" s="17"/>
      <c r="M109" s="17"/>
      <c r="N109" s="16" t="str">
        <f>HYPERLINK("http://slimages.macys.com/is/image/MCY/18493577 ")</f>
        <v xml:space="preserve">http://slimages.macys.com/is/image/MCY/18493577 </v>
      </c>
      <c r="O109" s="30"/>
    </row>
    <row r="110" spans="1:15" ht="48" x14ac:dyDescent="0.25">
      <c r="A110" s="19" t="s">
        <v>5189</v>
      </c>
      <c r="B110" s="17" t="s">
        <v>5188</v>
      </c>
      <c r="C110" s="20">
        <v>1</v>
      </c>
      <c r="D110" s="18">
        <v>28.71</v>
      </c>
      <c r="E110" s="18">
        <v>99</v>
      </c>
      <c r="F110" s="20">
        <v>10798956</v>
      </c>
      <c r="G110" s="17" t="s">
        <v>23</v>
      </c>
      <c r="H110" s="19" t="s">
        <v>898</v>
      </c>
      <c r="I110" s="18">
        <v>19.14</v>
      </c>
      <c r="J110" s="17" t="s">
        <v>120</v>
      </c>
      <c r="K110" s="17" t="s">
        <v>119</v>
      </c>
      <c r="L110" s="17"/>
      <c r="M110" s="17"/>
      <c r="N110" s="16" t="str">
        <f>HYPERLINK("http://slimages.macys.com/is/image/MCY/18850230 ")</f>
        <v xml:space="preserve">http://slimages.macys.com/is/image/MCY/18850230 </v>
      </c>
      <c r="O110" s="30"/>
    </row>
    <row r="111" spans="1:15" ht="48" x14ac:dyDescent="0.25">
      <c r="A111" s="19" t="s">
        <v>5187</v>
      </c>
      <c r="B111" s="17" t="s">
        <v>5186</v>
      </c>
      <c r="C111" s="20">
        <v>3</v>
      </c>
      <c r="D111" s="18">
        <v>28.48</v>
      </c>
      <c r="E111" s="18">
        <v>89</v>
      </c>
      <c r="F111" s="20">
        <v>7069229</v>
      </c>
      <c r="G111" s="17" t="s">
        <v>91</v>
      </c>
      <c r="H111" s="19" t="s">
        <v>22</v>
      </c>
      <c r="I111" s="18">
        <v>18.986666666666668</v>
      </c>
      <c r="J111" s="17" t="s">
        <v>111</v>
      </c>
      <c r="K111" s="17" t="s">
        <v>110</v>
      </c>
      <c r="L111" s="17" t="s">
        <v>389</v>
      </c>
      <c r="M111" s="17" t="s">
        <v>2860</v>
      </c>
      <c r="N111" s="16" t="str">
        <f>HYPERLINK("http://slimages.macys.com/is/image/MCY/15239479 ")</f>
        <v xml:space="preserve">http://slimages.macys.com/is/image/MCY/15239479 </v>
      </c>
      <c r="O111" s="30"/>
    </row>
    <row r="112" spans="1:15" ht="48" x14ac:dyDescent="0.25">
      <c r="A112" s="19" t="s">
        <v>5185</v>
      </c>
      <c r="B112" s="17" t="s">
        <v>5184</v>
      </c>
      <c r="C112" s="20">
        <v>1</v>
      </c>
      <c r="D112" s="18">
        <v>28.15</v>
      </c>
      <c r="E112" s="18">
        <v>104.25</v>
      </c>
      <c r="F112" s="20" t="s">
        <v>5183</v>
      </c>
      <c r="G112" s="17" t="s">
        <v>23</v>
      </c>
      <c r="H112" s="19" t="s">
        <v>916</v>
      </c>
      <c r="I112" s="18">
        <v>18.766666666666666</v>
      </c>
      <c r="J112" s="17" t="s">
        <v>358</v>
      </c>
      <c r="K112" s="17" t="s">
        <v>32</v>
      </c>
      <c r="L112" s="17"/>
      <c r="M112" s="17"/>
      <c r="N112" s="16" t="str">
        <f>HYPERLINK("http://slimages.macys.com/is/image/MCY/19522801 ")</f>
        <v xml:space="preserve">http://slimages.macys.com/is/image/MCY/19522801 </v>
      </c>
      <c r="O112" s="30"/>
    </row>
    <row r="113" spans="1:15" ht="48" x14ac:dyDescent="0.25">
      <c r="A113" s="19" t="s">
        <v>5182</v>
      </c>
      <c r="B113" s="17" t="s">
        <v>5181</v>
      </c>
      <c r="C113" s="20">
        <v>1</v>
      </c>
      <c r="D113" s="18">
        <v>28.04</v>
      </c>
      <c r="E113" s="18">
        <v>66.75</v>
      </c>
      <c r="F113" s="20">
        <v>10769534</v>
      </c>
      <c r="G113" s="17" t="s">
        <v>28</v>
      </c>
      <c r="H113" s="19"/>
      <c r="I113" s="18">
        <v>18.693333333333332</v>
      </c>
      <c r="J113" s="17" t="s">
        <v>358</v>
      </c>
      <c r="K113" s="17" t="s">
        <v>143</v>
      </c>
      <c r="L113" s="17"/>
      <c r="M113" s="17"/>
      <c r="N113" s="16" t="str">
        <f>HYPERLINK("http://slimages.macys.com/is/image/MCY/19096266 ")</f>
        <v xml:space="preserve">http://slimages.macys.com/is/image/MCY/19096266 </v>
      </c>
      <c r="O113" s="30"/>
    </row>
    <row r="114" spans="1:15" ht="48" x14ac:dyDescent="0.25">
      <c r="A114" s="19" t="s">
        <v>5180</v>
      </c>
      <c r="B114" s="17" t="s">
        <v>5179</v>
      </c>
      <c r="C114" s="20">
        <v>1</v>
      </c>
      <c r="D114" s="18">
        <v>28.04</v>
      </c>
      <c r="E114" s="18">
        <v>66.75</v>
      </c>
      <c r="F114" s="20">
        <v>10803165</v>
      </c>
      <c r="G114" s="17" t="s">
        <v>1356</v>
      </c>
      <c r="H114" s="19"/>
      <c r="I114" s="18">
        <v>18.693333333333332</v>
      </c>
      <c r="J114" s="17" t="s">
        <v>33</v>
      </c>
      <c r="K114" s="17" t="s">
        <v>143</v>
      </c>
      <c r="L114" s="17"/>
      <c r="M114" s="17"/>
      <c r="N114" s="16" t="str">
        <f>HYPERLINK("http://slimages.macys.com/is/image/MCY/19286345 ")</f>
        <v xml:space="preserve">http://slimages.macys.com/is/image/MCY/19286345 </v>
      </c>
      <c r="O114" s="30"/>
    </row>
    <row r="115" spans="1:15" ht="48" x14ac:dyDescent="0.25">
      <c r="A115" s="19" t="s">
        <v>5178</v>
      </c>
      <c r="B115" s="17" t="s">
        <v>5177</v>
      </c>
      <c r="C115" s="20">
        <v>1</v>
      </c>
      <c r="D115" s="18">
        <v>28.03</v>
      </c>
      <c r="E115" s="18">
        <v>74.25</v>
      </c>
      <c r="F115" s="20" t="s">
        <v>1296</v>
      </c>
      <c r="G115" s="17" t="s">
        <v>282</v>
      </c>
      <c r="H115" s="19" t="s">
        <v>1191</v>
      </c>
      <c r="I115" s="18">
        <v>18.686666666666667</v>
      </c>
      <c r="J115" s="17" t="s">
        <v>358</v>
      </c>
      <c r="K115" s="17" t="s">
        <v>32</v>
      </c>
      <c r="L115" s="17"/>
      <c r="M115" s="17"/>
      <c r="N115" s="16" t="str">
        <f>HYPERLINK("http://slimages.macys.com/is/image/MCY/19728327 ")</f>
        <v xml:space="preserve">http://slimages.macys.com/is/image/MCY/19728327 </v>
      </c>
      <c r="O115" s="30"/>
    </row>
    <row r="116" spans="1:15" ht="48" x14ac:dyDescent="0.25">
      <c r="A116" s="19" t="s">
        <v>1295</v>
      </c>
      <c r="B116" s="17" t="s">
        <v>1294</v>
      </c>
      <c r="C116" s="20">
        <v>1</v>
      </c>
      <c r="D116" s="18">
        <v>28.02</v>
      </c>
      <c r="E116" s="18">
        <v>74.25</v>
      </c>
      <c r="F116" s="20" t="s">
        <v>1293</v>
      </c>
      <c r="G116" s="17" t="s">
        <v>562</v>
      </c>
      <c r="H116" s="19" t="s">
        <v>1292</v>
      </c>
      <c r="I116" s="18">
        <v>18.68</v>
      </c>
      <c r="J116" s="17" t="s">
        <v>358</v>
      </c>
      <c r="K116" s="17" t="s">
        <v>32</v>
      </c>
      <c r="L116" s="17"/>
      <c r="M116" s="17"/>
      <c r="N116" s="16" t="str">
        <f>HYPERLINK("http://slimages.macys.com/is/image/MCY/19547877 ")</f>
        <v xml:space="preserve">http://slimages.macys.com/is/image/MCY/19547877 </v>
      </c>
      <c r="O116" s="30"/>
    </row>
    <row r="117" spans="1:15" ht="48" x14ac:dyDescent="0.25">
      <c r="A117" s="19" t="s">
        <v>5176</v>
      </c>
      <c r="B117" s="17" t="s">
        <v>5175</v>
      </c>
      <c r="C117" s="20">
        <v>1</v>
      </c>
      <c r="D117" s="18">
        <v>27.72</v>
      </c>
      <c r="E117" s="18">
        <v>99</v>
      </c>
      <c r="F117" s="20">
        <v>9221061</v>
      </c>
      <c r="G117" s="17" t="s">
        <v>508</v>
      </c>
      <c r="H117" s="19" t="s">
        <v>351</v>
      </c>
      <c r="I117" s="18">
        <v>18.48</v>
      </c>
      <c r="J117" s="17" t="s">
        <v>138</v>
      </c>
      <c r="K117" s="17" t="s">
        <v>137</v>
      </c>
      <c r="L117" s="17"/>
      <c r="M117" s="17"/>
      <c r="N117" s="16" t="str">
        <f>HYPERLINK("http://slimages.macys.com/is/image/MCY/18866241 ")</f>
        <v xml:space="preserve">http://slimages.macys.com/is/image/MCY/18866241 </v>
      </c>
      <c r="O117" s="30"/>
    </row>
    <row r="118" spans="1:15" ht="72" x14ac:dyDescent="0.25">
      <c r="A118" s="19" t="s">
        <v>5174</v>
      </c>
      <c r="B118" s="17" t="s">
        <v>5173</v>
      </c>
      <c r="C118" s="20">
        <v>1</v>
      </c>
      <c r="D118" s="18">
        <v>27.5</v>
      </c>
      <c r="E118" s="18">
        <v>99</v>
      </c>
      <c r="F118" s="20">
        <v>9328771</v>
      </c>
      <c r="G118" s="17" t="s">
        <v>51</v>
      </c>
      <c r="H118" s="19" t="s">
        <v>5172</v>
      </c>
      <c r="I118" s="18">
        <v>18.333333333333336</v>
      </c>
      <c r="J118" s="17" t="s">
        <v>550</v>
      </c>
      <c r="K118" s="17" t="s">
        <v>1262</v>
      </c>
      <c r="L118" s="17" t="s">
        <v>389</v>
      </c>
      <c r="M118" s="17" t="s">
        <v>1261</v>
      </c>
      <c r="N118" s="16" t="str">
        <f>HYPERLINK("http://slimages.macys.com/is/image/MCY/16095085 ")</f>
        <v xml:space="preserve">http://slimages.macys.com/is/image/MCY/16095085 </v>
      </c>
      <c r="O118" s="30"/>
    </row>
    <row r="119" spans="1:15" ht="48" x14ac:dyDescent="0.25">
      <c r="A119" s="19" t="s">
        <v>5171</v>
      </c>
      <c r="B119" s="17" t="s">
        <v>5170</v>
      </c>
      <c r="C119" s="20">
        <v>1</v>
      </c>
      <c r="D119" s="18">
        <v>27.42</v>
      </c>
      <c r="E119" s="18">
        <v>99</v>
      </c>
      <c r="F119" s="20" t="s">
        <v>633</v>
      </c>
      <c r="G119" s="17" t="s">
        <v>23</v>
      </c>
      <c r="H119" s="19" t="s">
        <v>69</v>
      </c>
      <c r="I119" s="18">
        <v>18.28</v>
      </c>
      <c r="J119" s="17" t="s">
        <v>405</v>
      </c>
      <c r="K119" s="17" t="s">
        <v>404</v>
      </c>
      <c r="L119" s="17"/>
      <c r="M119" s="17"/>
      <c r="N119" s="16" t="str">
        <f>HYPERLINK("http://slimages.macys.com/is/image/MCY/18223895 ")</f>
        <v xml:space="preserve">http://slimages.macys.com/is/image/MCY/18223895 </v>
      </c>
      <c r="O119" s="30"/>
    </row>
    <row r="120" spans="1:15" ht="48" x14ac:dyDescent="0.25">
      <c r="A120" s="19" t="s">
        <v>5169</v>
      </c>
      <c r="B120" s="17" t="s">
        <v>5168</v>
      </c>
      <c r="C120" s="20">
        <v>1</v>
      </c>
      <c r="D120" s="18">
        <v>27.42</v>
      </c>
      <c r="E120" s="18">
        <v>99</v>
      </c>
      <c r="F120" s="20" t="s">
        <v>5167</v>
      </c>
      <c r="G120" s="17" t="s">
        <v>726</v>
      </c>
      <c r="H120" s="19" t="s">
        <v>69</v>
      </c>
      <c r="I120" s="18">
        <v>18.28</v>
      </c>
      <c r="J120" s="17" t="s">
        <v>405</v>
      </c>
      <c r="K120" s="17" t="s">
        <v>404</v>
      </c>
      <c r="L120" s="17"/>
      <c r="M120" s="17"/>
      <c r="N120" s="16" t="str">
        <f>HYPERLINK("http://slimages.macys.com/is/image/MCY/19792185 ")</f>
        <v xml:space="preserve">http://slimages.macys.com/is/image/MCY/19792185 </v>
      </c>
      <c r="O120" s="30"/>
    </row>
    <row r="121" spans="1:15" ht="48" x14ac:dyDescent="0.25">
      <c r="A121" s="19" t="s">
        <v>5166</v>
      </c>
      <c r="B121" s="17" t="s">
        <v>5165</v>
      </c>
      <c r="C121" s="20">
        <v>1</v>
      </c>
      <c r="D121" s="18">
        <v>27.37</v>
      </c>
      <c r="E121" s="18">
        <v>66.75</v>
      </c>
      <c r="F121" s="20">
        <v>10791454</v>
      </c>
      <c r="G121" s="17" t="s">
        <v>63</v>
      </c>
      <c r="H121" s="19" t="s">
        <v>1445</v>
      </c>
      <c r="I121" s="18">
        <v>18.24666666666667</v>
      </c>
      <c r="J121" s="17" t="s">
        <v>358</v>
      </c>
      <c r="K121" s="17" t="s">
        <v>143</v>
      </c>
      <c r="L121" s="17"/>
      <c r="M121" s="17"/>
      <c r="N121" s="16" t="str">
        <f>HYPERLINK("http://slimages.macys.com/is/image/MCY/17966929 ")</f>
        <v xml:space="preserve">http://slimages.macys.com/is/image/MCY/17966929 </v>
      </c>
      <c r="O121" s="30"/>
    </row>
    <row r="122" spans="1:15" ht="60" x14ac:dyDescent="0.25">
      <c r="A122" s="19" t="s">
        <v>5164</v>
      </c>
      <c r="B122" s="17" t="s">
        <v>5163</v>
      </c>
      <c r="C122" s="20">
        <v>1</v>
      </c>
      <c r="D122" s="18">
        <v>27.05</v>
      </c>
      <c r="E122" s="18">
        <v>89.5</v>
      </c>
      <c r="F122" s="20" t="s">
        <v>5162</v>
      </c>
      <c r="G122" s="17" t="s">
        <v>51</v>
      </c>
      <c r="H122" s="19" t="s">
        <v>658</v>
      </c>
      <c r="I122" s="18">
        <v>18.033333333333335</v>
      </c>
      <c r="J122" s="17" t="s">
        <v>106</v>
      </c>
      <c r="K122" s="17" t="s">
        <v>105</v>
      </c>
      <c r="L122" s="17"/>
      <c r="M122" s="17"/>
      <c r="N122" s="16" t="str">
        <f>HYPERLINK("http://slimages.macys.com/is/image/MCY/19387364 ")</f>
        <v xml:space="preserve">http://slimages.macys.com/is/image/MCY/19387364 </v>
      </c>
      <c r="O122" s="30"/>
    </row>
    <row r="123" spans="1:15" ht="48" x14ac:dyDescent="0.25">
      <c r="A123" s="19" t="s">
        <v>5161</v>
      </c>
      <c r="B123" s="17" t="s">
        <v>5160</v>
      </c>
      <c r="C123" s="20">
        <v>1</v>
      </c>
      <c r="D123" s="18">
        <v>27</v>
      </c>
      <c r="E123" s="18">
        <v>85</v>
      </c>
      <c r="F123" s="20" t="s">
        <v>2028</v>
      </c>
      <c r="G123" s="17" t="s">
        <v>1382</v>
      </c>
      <c r="H123" s="19" t="s">
        <v>197</v>
      </c>
      <c r="I123" s="18">
        <v>18.000000000000004</v>
      </c>
      <c r="J123" s="17" t="s">
        <v>80</v>
      </c>
      <c r="K123" s="17" t="s">
        <v>531</v>
      </c>
      <c r="L123" s="17"/>
      <c r="M123" s="17"/>
      <c r="N123" s="16" t="str">
        <f>HYPERLINK("http://slimages.macys.com/is/image/MCY/18269864 ")</f>
        <v xml:space="preserve">http://slimages.macys.com/is/image/MCY/18269864 </v>
      </c>
      <c r="O123" s="30"/>
    </row>
    <row r="124" spans="1:15" ht="48" x14ac:dyDescent="0.25">
      <c r="A124" s="19" t="s">
        <v>3863</v>
      </c>
      <c r="B124" s="17" t="s">
        <v>3862</v>
      </c>
      <c r="C124" s="20">
        <v>1</v>
      </c>
      <c r="D124" s="18">
        <v>26.7</v>
      </c>
      <c r="E124" s="18">
        <v>89</v>
      </c>
      <c r="F124" s="20">
        <v>10811406</v>
      </c>
      <c r="G124" s="17" t="s">
        <v>555</v>
      </c>
      <c r="H124" s="19" t="s">
        <v>1292</v>
      </c>
      <c r="I124" s="18">
        <v>17.8</v>
      </c>
      <c r="J124" s="17" t="s">
        <v>358</v>
      </c>
      <c r="K124" s="17" t="s">
        <v>554</v>
      </c>
      <c r="L124" s="17"/>
      <c r="M124" s="17"/>
      <c r="N124" s="16" t="str">
        <f>HYPERLINK("http://slimages.macys.com/is/image/MCY/19634003 ")</f>
        <v xml:space="preserve">http://slimages.macys.com/is/image/MCY/19634003 </v>
      </c>
      <c r="O124" s="30"/>
    </row>
    <row r="125" spans="1:15" ht="48" x14ac:dyDescent="0.25">
      <c r="A125" s="19" t="s">
        <v>5159</v>
      </c>
      <c r="B125" s="17" t="s">
        <v>5158</v>
      </c>
      <c r="C125" s="20">
        <v>1</v>
      </c>
      <c r="D125" s="18">
        <v>26.7</v>
      </c>
      <c r="E125" s="18">
        <v>89</v>
      </c>
      <c r="F125" s="20">
        <v>10811406</v>
      </c>
      <c r="G125" s="17" t="s">
        <v>555</v>
      </c>
      <c r="H125" s="19" t="s">
        <v>1445</v>
      </c>
      <c r="I125" s="18">
        <v>17.8</v>
      </c>
      <c r="J125" s="17" t="s">
        <v>358</v>
      </c>
      <c r="K125" s="17" t="s">
        <v>554</v>
      </c>
      <c r="L125" s="17"/>
      <c r="M125" s="17"/>
      <c r="N125" s="16" t="str">
        <f>HYPERLINK("http://slimages.macys.com/is/image/MCY/19634003 ")</f>
        <v xml:space="preserve">http://slimages.macys.com/is/image/MCY/19634003 </v>
      </c>
      <c r="O125" s="30"/>
    </row>
    <row r="126" spans="1:15" ht="48" x14ac:dyDescent="0.25">
      <c r="A126" s="19" t="s">
        <v>5157</v>
      </c>
      <c r="B126" s="17" t="s">
        <v>5156</v>
      </c>
      <c r="C126" s="20">
        <v>15</v>
      </c>
      <c r="D126" s="18">
        <v>26.4</v>
      </c>
      <c r="E126" s="18">
        <v>89</v>
      </c>
      <c r="F126" s="20">
        <v>100025775</v>
      </c>
      <c r="G126" s="17" t="s">
        <v>51</v>
      </c>
      <c r="H126" s="19" t="s">
        <v>749</v>
      </c>
      <c r="I126" s="18">
        <v>17.600000000000001</v>
      </c>
      <c r="J126" s="17" t="s">
        <v>550</v>
      </c>
      <c r="K126" s="17" t="s">
        <v>5155</v>
      </c>
      <c r="L126" s="17"/>
      <c r="M126" s="17"/>
      <c r="N126" s="16" t="str">
        <f>HYPERLINK("http://slimages.macys.com/is/image/MCY/17950505 ")</f>
        <v xml:space="preserve">http://slimages.macys.com/is/image/MCY/17950505 </v>
      </c>
      <c r="O126" s="30"/>
    </row>
    <row r="127" spans="1:15" ht="48" x14ac:dyDescent="0.25">
      <c r="A127" s="19" t="s">
        <v>5154</v>
      </c>
      <c r="B127" s="17" t="s">
        <v>5153</v>
      </c>
      <c r="C127" s="20">
        <v>5</v>
      </c>
      <c r="D127" s="18">
        <v>26.15</v>
      </c>
      <c r="E127" s="18">
        <v>79</v>
      </c>
      <c r="F127" s="20" t="s">
        <v>5152</v>
      </c>
      <c r="G127" s="17" t="s">
        <v>23</v>
      </c>
      <c r="H127" s="19" t="s">
        <v>62</v>
      </c>
      <c r="I127" s="18">
        <v>17.433333333333337</v>
      </c>
      <c r="J127" s="17" t="s">
        <v>49</v>
      </c>
      <c r="K127" s="17" t="s">
        <v>48</v>
      </c>
      <c r="L127" s="17"/>
      <c r="M127" s="17"/>
      <c r="N127" s="16" t="str">
        <f>HYPERLINK("http://slimages.macys.com/is/image/MCY/19288776 ")</f>
        <v xml:space="preserve">http://slimages.macys.com/is/image/MCY/19288776 </v>
      </c>
      <c r="O127" s="30"/>
    </row>
    <row r="128" spans="1:15" ht="48" x14ac:dyDescent="0.25">
      <c r="A128" s="19" t="s">
        <v>5151</v>
      </c>
      <c r="B128" s="17" t="s">
        <v>5150</v>
      </c>
      <c r="C128" s="20">
        <v>1</v>
      </c>
      <c r="D128" s="18">
        <v>25.81</v>
      </c>
      <c r="E128" s="18">
        <v>89</v>
      </c>
      <c r="F128" s="20">
        <v>10807628</v>
      </c>
      <c r="G128" s="17" t="s">
        <v>578</v>
      </c>
      <c r="H128" s="19" t="s">
        <v>197</v>
      </c>
      <c r="I128" s="18">
        <v>17.206666666666667</v>
      </c>
      <c r="J128" s="17" t="s">
        <v>120</v>
      </c>
      <c r="K128" s="17" t="s">
        <v>119</v>
      </c>
      <c r="L128" s="17"/>
      <c r="M128" s="17"/>
      <c r="N128" s="16" t="str">
        <f>HYPERLINK("http://slimages.macys.com/is/image/MCY/19464302 ")</f>
        <v xml:space="preserve">http://slimages.macys.com/is/image/MCY/19464302 </v>
      </c>
      <c r="O128" s="30"/>
    </row>
    <row r="129" spans="1:15" ht="48" x14ac:dyDescent="0.25">
      <c r="A129" s="19" t="s">
        <v>5149</v>
      </c>
      <c r="B129" s="17" t="s">
        <v>5148</v>
      </c>
      <c r="C129" s="20">
        <v>1</v>
      </c>
      <c r="D129" s="18">
        <v>25.61</v>
      </c>
      <c r="E129" s="18">
        <v>74.25</v>
      </c>
      <c r="F129" s="20" t="s">
        <v>4574</v>
      </c>
      <c r="G129" s="17" t="s">
        <v>51</v>
      </c>
      <c r="H129" s="19" t="s">
        <v>1445</v>
      </c>
      <c r="I129" s="18">
        <v>17.073333333333334</v>
      </c>
      <c r="J129" s="17" t="s">
        <v>358</v>
      </c>
      <c r="K129" s="17" t="s">
        <v>32</v>
      </c>
      <c r="L129" s="17" t="s">
        <v>389</v>
      </c>
      <c r="M129" s="17" t="s">
        <v>4573</v>
      </c>
      <c r="N129" s="16" t="str">
        <f>HYPERLINK("http://slimages.macys.com/is/image/MCY/10751321 ")</f>
        <v xml:space="preserve">http://slimages.macys.com/is/image/MCY/10751321 </v>
      </c>
      <c r="O129" s="30"/>
    </row>
    <row r="130" spans="1:15" ht="60" x14ac:dyDescent="0.25">
      <c r="A130" s="19" t="s">
        <v>5147</v>
      </c>
      <c r="B130" s="17" t="s">
        <v>5146</v>
      </c>
      <c r="C130" s="20">
        <v>1</v>
      </c>
      <c r="D130" s="18">
        <v>25.51</v>
      </c>
      <c r="E130" s="18">
        <v>89.5</v>
      </c>
      <c r="F130" s="20" t="s">
        <v>5145</v>
      </c>
      <c r="G130" s="17" t="s">
        <v>51</v>
      </c>
      <c r="H130" s="19"/>
      <c r="I130" s="18">
        <v>17.006666666666668</v>
      </c>
      <c r="J130" s="17" t="s">
        <v>540</v>
      </c>
      <c r="K130" s="17" t="s">
        <v>105</v>
      </c>
      <c r="L130" s="17"/>
      <c r="M130" s="17"/>
      <c r="N130" s="16" t="str">
        <f>HYPERLINK("http://slimages.macys.com/is/image/MCY/19782214 ")</f>
        <v xml:space="preserve">http://slimages.macys.com/is/image/MCY/19782214 </v>
      </c>
      <c r="O130" s="30"/>
    </row>
    <row r="131" spans="1:15" ht="48" x14ac:dyDescent="0.25">
      <c r="A131" s="19" t="s">
        <v>5144</v>
      </c>
      <c r="B131" s="17" t="s">
        <v>5143</v>
      </c>
      <c r="C131" s="20">
        <v>1</v>
      </c>
      <c r="D131" s="18">
        <v>25.25</v>
      </c>
      <c r="E131" s="18">
        <v>79.5</v>
      </c>
      <c r="F131" s="20" t="s">
        <v>590</v>
      </c>
      <c r="G131" s="17" t="s">
        <v>1382</v>
      </c>
      <c r="H131" s="19" t="s">
        <v>69</v>
      </c>
      <c r="I131" s="18">
        <v>16.833333333333332</v>
      </c>
      <c r="J131" s="17" t="s">
        <v>80</v>
      </c>
      <c r="K131" s="17" t="s">
        <v>531</v>
      </c>
      <c r="L131" s="17"/>
      <c r="M131" s="17"/>
      <c r="N131" s="16" t="str">
        <f>HYPERLINK("http://slimages.macys.com/is/image/MCY/18269800 ")</f>
        <v xml:space="preserve">http://slimages.macys.com/is/image/MCY/18269800 </v>
      </c>
      <c r="O131" s="30"/>
    </row>
    <row r="132" spans="1:15" ht="48" x14ac:dyDescent="0.25">
      <c r="A132" s="19" t="s">
        <v>5142</v>
      </c>
      <c r="B132" s="17" t="s">
        <v>5141</v>
      </c>
      <c r="C132" s="20">
        <v>1</v>
      </c>
      <c r="D132" s="18">
        <v>25.23</v>
      </c>
      <c r="E132" s="18">
        <v>66.75</v>
      </c>
      <c r="F132" s="20">
        <v>10688320</v>
      </c>
      <c r="G132" s="17" t="s">
        <v>28</v>
      </c>
      <c r="H132" s="19" t="s">
        <v>1292</v>
      </c>
      <c r="I132" s="18">
        <v>16.82</v>
      </c>
      <c r="J132" s="17" t="s">
        <v>358</v>
      </c>
      <c r="K132" s="17" t="s">
        <v>143</v>
      </c>
      <c r="L132" s="17" t="s">
        <v>389</v>
      </c>
      <c r="M132" s="17" t="s">
        <v>662</v>
      </c>
      <c r="N132" s="16" t="str">
        <f>HYPERLINK("http://slimages.macys.com/is/image/MCY/9936885 ")</f>
        <v xml:space="preserve">http://slimages.macys.com/is/image/MCY/9936885 </v>
      </c>
      <c r="O132" s="30"/>
    </row>
    <row r="133" spans="1:15" ht="48" x14ac:dyDescent="0.25">
      <c r="A133" s="19" t="s">
        <v>5140</v>
      </c>
      <c r="B133" s="17" t="s">
        <v>5139</v>
      </c>
      <c r="C133" s="20">
        <v>1</v>
      </c>
      <c r="D133" s="18">
        <v>25.19</v>
      </c>
      <c r="E133" s="18">
        <v>66.75</v>
      </c>
      <c r="F133" s="20" t="s">
        <v>5138</v>
      </c>
      <c r="G133" s="17" t="s">
        <v>28</v>
      </c>
      <c r="H133" s="19" t="s">
        <v>874</v>
      </c>
      <c r="I133" s="18">
        <v>16.793333333333337</v>
      </c>
      <c r="J133" s="17" t="s">
        <v>33</v>
      </c>
      <c r="K133" s="17" t="s">
        <v>32</v>
      </c>
      <c r="L133" s="17"/>
      <c r="M133" s="17"/>
      <c r="N133" s="16" t="str">
        <f>HYPERLINK("http://slimages.macys.com/is/image/MCY/18991510 ")</f>
        <v xml:space="preserve">http://slimages.macys.com/is/image/MCY/18991510 </v>
      </c>
      <c r="O133" s="30"/>
    </row>
    <row r="134" spans="1:15" ht="48" x14ac:dyDescent="0.25">
      <c r="A134" s="19" t="s">
        <v>5137</v>
      </c>
      <c r="B134" s="17" t="s">
        <v>5136</v>
      </c>
      <c r="C134" s="20">
        <v>1</v>
      </c>
      <c r="D134" s="18">
        <v>24.75</v>
      </c>
      <c r="E134" s="18">
        <v>99</v>
      </c>
      <c r="F134" s="20">
        <v>10771060</v>
      </c>
      <c r="G134" s="17" t="s">
        <v>51</v>
      </c>
      <c r="H134" s="19"/>
      <c r="I134" s="18">
        <v>16.5</v>
      </c>
      <c r="J134" s="17" t="s">
        <v>120</v>
      </c>
      <c r="K134" s="17" t="s">
        <v>119</v>
      </c>
      <c r="L134" s="17" t="s">
        <v>389</v>
      </c>
      <c r="M134" s="17" t="s">
        <v>1359</v>
      </c>
      <c r="N134" s="16" t="str">
        <f>HYPERLINK("http://slimages.macys.com/is/image/MCY/12854187 ")</f>
        <v xml:space="preserve">http://slimages.macys.com/is/image/MCY/12854187 </v>
      </c>
      <c r="O134" s="30"/>
    </row>
    <row r="135" spans="1:15" ht="60" x14ac:dyDescent="0.25">
      <c r="A135" s="19" t="s">
        <v>5135</v>
      </c>
      <c r="B135" s="17" t="s">
        <v>5134</v>
      </c>
      <c r="C135" s="20">
        <v>1</v>
      </c>
      <c r="D135" s="18">
        <v>24.02</v>
      </c>
      <c r="E135" s="18">
        <v>79.5</v>
      </c>
      <c r="F135" s="20" t="s">
        <v>5133</v>
      </c>
      <c r="G135" s="17" t="s">
        <v>91</v>
      </c>
      <c r="H135" s="19" t="s">
        <v>197</v>
      </c>
      <c r="I135" s="18">
        <v>16.013333333333335</v>
      </c>
      <c r="J135" s="17" t="s">
        <v>106</v>
      </c>
      <c r="K135" s="17" t="s">
        <v>105</v>
      </c>
      <c r="L135" s="17"/>
      <c r="M135" s="17"/>
      <c r="N135" s="16" t="str">
        <f>HYPERLINK("http://slimages.macys.com/is/image/MCY/19965864 ")</f>
        <v xml:space="preserve">http://slimages.macys.com/is/image/MCY/19965864 </v>
      </c>
      <c r="O135" s="30"/>
    </row>
    <row r="136" spans="1:15" ht="60" x14ac:dyDescent="0.25">
      <c r="A136" s="19" t="s">
        <v>1246</v>
      </c>
      <c r="B136" s="17" t="s">
        <v>1245</v>
      </c>
      <c r="C136" s="20">
        <v>1</v>
      </c>
      <c r="D136" s="18">
        <v>24.02</v>
      </c>
      <c r="E136" s="18">
        <v>79.5</v>
      </c>
      <c r="F136" s="20" t="s">
        <v>1244</v>
      </c>
      <c r="G136" s="17" t="s">
        <v>91</v>
      </c>
      <c r="H136" s="19" t="s">
        <v>62</v>
      </c>
      <c r="I136" s="18">
        <v>16.013333333333335</v>
      </c>
      <c r="J136" s="17" t="s">
        <v>106</v>
      </c>
      <c r="K136" s="17" t="s">
        <v>105</v>
      </c>
      <c r="L136" s="17"/>
      <c r="M136" s="17"/>
      <c r="N136" s="16" t="str">
        <f>HYPERLINK("http://slimages.macys.com/is/image/MCY/20125785 ")</f>
        <v xml:space="preserve">http://slimages.macys.com/is/image/MCY/20125785 </v>
      </c>
      <c r="O136" s="30"/>
    </row>
    <row r="137" spans="1:15" ht="60" x14ac:dyDescent="0.25">
      <c r="A137" s="19" t="s">
        <v>5132</v>
      </c>
      <c r="B137" s="17" t="s">
        <v>5131</v>
      </c>
      <c r="C137" s="20">
        <v>1</v>
      </c>
      <c r="D137" s="18">
        <v>24.02</v>
      </c>
      <c r="E137" s="18">
        <v>79.5</v>
      </c>
      <c r="F137" s="20" t="s">
        <v>5130</v>
      </c>
      <c r="G137" s="17" t="s">
        <v>51</v>
      </c>
      <c r="H137" s="19" t="s">
        <v>658</v>
      </c>
      <c r="I137" s="18">
        <v>16.013333333333335</v>
      </c>
      <c r="J137" s="17" t="s">
        <v>106</v>
      </c>
      <c r="K137" s="17" t="s">
        <v>105</v>
      </c>
      <c r="L137" s="17"/>
      <c r="M137" s="17"/>
      <c r="N137" s="16" t="str">
        <f>HYPERLINK("http://slimages.macys.com/is/image/MCY/18771566 ")</f>
        <v xml:space="preserve">http://slimages.macys.com/is/image/MCY/18771566 </v>
      </c>
      <c r="O137" s="30"/>
    </row>
    <row r="138" spans="1:15" ht="60" x14ac:dyDescent="0.25">
      <c r="A138" s="19" t="s">
        <v>2806</v>
      </c>
      <c r="B138" s="17" t="s">
        <v>2805</v>
      </c>
      <c r="C138" s="20">
        <v>2</v>
      </c>
      <c r="D138" s="18">
        <v>24.02</v>
      </c>
      <c r="E138" s="18">
        <v>79.5</v>
      </c>
      <c r="F138" s="20" t="s">
        <v>1244</v>
      </c>
      <c r="G138" s="17" t="s">
        <v>91</v>
      </c>
      <c r="H138" s="19" t="s">
        <v>197</v>
      </c>
      <c r="I138" s="18">
        <v>16.013333333333335</v>
      </c>
      <c r="J138" s="17" t="s">
        <v>106</v>
      </c>
      <c r="K138" s="17" t="s">
        <v>105</v>
      </c>
      <c r="L138" s="17"/>
      <c r="M138" s="17"/>
      <c r="N138" s="16" t="str">
        <f>HYPERLINK("http://slimages.macys.com/is/image/MCY/20125785 ")</f>
        <v xml:space="preserve">http://slimages.macys.com/is/image/MCY/20125785 </v>
      </c>
      <c r="O138" s="30"/>
    </row>
    <row r="139" spans="1:15" ht="60" x14ac:dyDescent="0.25">
      <c r="A139" s="19" t="s">
        <v>5129</v>
      </c>
      <c r="B139" s="17" t="s">
        <v>5128</v>
      </c>
      <c r="C139" s="20">
        <v>1</v>
      </c>
      <c r="D139" s="18">
        <v>24.02</v>
      </c>
      <c r="E139" s="18">
        <v>79.5</v>
      </c>
      <c r="F139" s="20" t="s">
        <v>2799</v>
      </c>
      <c r="G139" s="17" t="s">
        <v>1382</v>
      </c>
      <c r="H139" s="19" t="s">
        <v>197</v>
      </c>
      <c r="I139" s="18">
        <v>16.013333333333335</v>
      </c>
      <c r="J139" s="17" t="s">
        <v>106</v>
      </c>
      <c r="K139" s="17" t="s">
        <v>105</v>
      </c>
      <c r="L139" s="17"/>
      <c r="M139" s="17"/>
      <c r="N139" s="16" t="str">
        <f>HYPERLINK("http://slimages.macys.com/is/image/MCY/19911009 ")</f>
        <v xml:space="preserve">http://slimages.macys.com/is/image/MCY/19911009 </v>
      </c>
      <c r="O139" s="30"/>
    </row>
    <row r="140" spans="1:15" ht="60" x14ac:dyDescent="0.25">
      <c r="A140" s="19" t="s">
        <v>4531</v>
      </c>
      <c r="B140" s="17" t="s">
        <v>4530</v>
      </c>
      <c r="C140" s="20">
        <v>1</v>
      </c>
      <c r="D140" s="18">
        <v>24.02</v>
      </c>
      <c r="E140" s="18">
        <v>79.5</v>
      </c>
      <c r="F140" s="20" t="s">
        <v>2802</v>
      </c>
      <c r="G140" s="17" t="s">
        <v>51</v>
      </c>
      <c r="H140" s="19" t="s">
        <v>197</v>
      </c>
      <c r="I140" s="18">
        <v>16.013333333333335</v>
      </c>
      <c r="J140" s="17" t="s">
        <v>106</v>
      </c>
      <c r="K140" s="17" t="s">
        <v>105</v>
      </c>
      <c r="L140" s="17"/>
      <c r="M140" s="17"/>
      <c r="N140" s="16" t="str">
        <f>HYPERLINK("http://slimages.macys.com/is/image/MCY/19027051 ")</f>
        <v xml:space="preserve">http://slimages.macys.com/is/image/MCY/19027051 </v>
      </c>
      <c r="O140" s="30"/>
    </row>
    <row r="141" spans="1:15" ht="48" x14ac:dyDescent="0.25">
      <c r="A141" s="19" t="s">
        <v>2793</v>
      </c>
      <c r="B141" s="17" t="s">
        <v>2792</v>
      </c>
      <c r="C141" s="20">
        <v>1</v>
      </c>
      <c r="D141" s="18">
        <v>24</v>
      </c>
      <c r="E141" s="18">
        <v>75</v>
      </c>
      <c r="F141" s="20" t="s">
        <v>1241</v>
      </c>
      <c r="G141" s="17" t="s">
        <v>91</v>
      </c>
      <c r="H141" s="19" t="s">
        <v>69</v>
      </c>
      <c r="I141" s="18">
        <v>16</v>
      </c>
      <c r="J141" s="17" t="s">
        <v>80</v>
      </c>
      <c r="K141" s="17" t="s">
        <v>531</v>
      </c>
      <c r="L141" s="17"/>
      <c r="M141" s="17"/>
      <c r="N141" s="16" t="str">
        <f>HYPERLINK("http://slimages.macys.com/is/image/MCY/18269796 ")</f>
        <v xml:space="preserve">http://slimages.macys.com/is/image/MCY/18269796 </v>
      </c>
      <c r="O141" s="30"/>
    </row>
    <row r="142" spans="1:15" ht="48" x14ac:dyDescent="0.25">
      <c r="A142" s="19" t="s">
        <v>5127</v>
      </c>
      <c r="B142" s="17" t="s">
        <v>5126</v>
      </c>
      <c r="C142" s="20">
        <v>1</v>
      </c>
      <c r="D142" s="18">
        <v>23.8</v>
      </c>
      <c r="E142" s="18">
        <v>68</v>
      </c>
      <c r="F142" s="20" t="s">
        <v>5125</v>
      </c>
      <c r="G142" s="17" t="s">
        <v>51</v>
      </c>
      <c r="H142" s="19" t="s">
        <v>62</v>
      </c>
      <c r="I142" s="18">
        <v>15.866666666666667</v>
      </c>
      <c r="J142" s="17" t="s">
        <v>133</v>
      </c>
      <c r="K142" s="17" t="s">
        <v>584</v>
      </c>
      <c r="L142" s="17"/>
      <c r="M142" s="17"/>
      <c r="N142" s="16" t="str">
        <f>HYPERLINK("http://slimages.macys.com/is/image/MCY/18581254 ")</f>
        <v xml:space="preserve">http://slimages.macys.com/is/image/MCY/18581254 </v>
      </c>
      <c r="O142" s="30"/>
    </row>
    <row r="143" spans="1:15" ht="48" x14ac:dyDescent="0.25">
      <c r="A143" s="19" t="s">
        <v>5124</v>
      </c>
      <c r="B143" s="17" t="s">
        <v>5123</v>
      </c>
      <c r="C143" s="20">
        <v>1</v>
      </c>
      <c r="D143" s="18">
        <v>23.7</v>
      </c>
      <c r="E143" s="18">
        <v>79</v>
      </c>
      <c r="F143" s="20">
        <v>10804962</v>
      </c>
      <c r="G143" s="17" t="s">
        <v>1022</v>
      </c>
      <c r="H143" s="19" t="s">
        <v>139</v>
      </c>
      <c r="I143" s="18">
        <v>15.8</v>
      </c>
      <c r="J143" s="17" t="s">
        <v>358</v>
      </c>
      <c r="K143" s="17" t="s">
        <v>554</v>
      </c>
      <c r="L143" s="17"/>
      <c r="M143" s="17"/>
      <c r="N143" s="16" t="str">
        <f>HYPERLINK("http://slimages.macys.com/is/image/MCY/19205592 ")</f>
        <v xml:space="preserve">http://slimages.macys.com/is/image/MCY/19205592 </v>
      </c>
      <c r="O143" s="30"/>
    </row>
    <row r="144" spans="1:15" ht="48" x14ac:dyDescent="0.25">
      <c r="A144" s="19" t="s">
        <v>4514</v>
      </c>
      <c r="B144" s="17" t="s">
        <v>4513</v>
      </c>
      <c r="C144" s="20">
        <v>1</v>
      </c>
      <c r="D144" s="18">
        <v>23.5</v>
      </c>
      <c r="E144" s="18">
        <v>79</v>
      </c>
      <c r="F144" s="20" t="s">
        <v>1986</v>
      </c>
      <c r="G144" s="17" t="s">
        <v>216</v>
      </c>
      <c r="H144" s="19"/>
      <c r="I144" s="18">
        <v>15.666666666666668</v>
      </c>
      <c r="J144" s="17" t="s">
        <v>550</v>
      </c>
      <c r="K144" s="17" t="s">
        <v>1448</v>
      </c>
      <c r="L144" s="17"/>
      <c r="M144" s="17"/>
      <c r="N144" s="16" t="str">
        <f>HYPERLINK("http://slimages.macys.com/is/image/MCY/18272380 ")</f>
        <v xml:space="preserve">http://slimages.macys.com/is/image/MCY/18272380 </v>
      </c>
      <c r="O144" s="30"/>
    </row>
    <row r="145" spans="1:15" ht="48" x14ac:dyDescent="0.25">
      <c r="A145" s="19" t="s">
        <v>5122</v>
      </c>
      <c r="B145" s="17" t="s">
        <v>5121</v>
      </c>
      <c r="C145" s="20">
        <v>1</v>
      </c>
      <c r="D145" s="18">
        <v>23.23</v>
      </c>
      <c r="E145" s="18">
        <v>79</v>
      </c>
      <c r="F145" s="20" t="s">
        <v>5120</v>
      </c>
      <c r="G145" s="17" t="s">
        <v>58</v>
      </c>
      <c r="H145" s="19"/>
      <c r="I145" s="18">
        <v>15.486666666666666</v>
      </c>
      <c r="J145" s="17" t="s">
        <v>492</v>
      </c>
      <c r="K145" s="17" t="s">
        <v>491</v>
      </c>
      <c r="L145" s="17"/>
      <c r="M145" s="17"/>
      <c r="N145" s="16" t="str">
        <f>HYPERLINK("http://slimages.macys.com/is/image/MCY/16432509 ")</f>
        <v xml:space="preserve">http://slimages.macys.com/is/image/MCY/16432509 </v>
      </c>
      <c r="O145" s="30"/>
    </row>
    <row r="146" spans="1:15" ht="60" x14ac:dyDescent="0.25">
      <c r="A146" s="19" t="s">
        <v>5119</v>
      </c>
      <c r="B146" s="17" t="s">
        <v>5118</v>
      </c>
      <c r="C146" s="20">
        <v>1</v>
      </c>
      <c r="D146" s="18">
        <v>22.66</v>
      </c>
      <c r="E146" s="18">
        <v>79.5</v>
      </c>
      <c r="F146" s="20" t="s">
        <v>1221</v>
      </c>
      <c r="G146" s="17" t="s">
        <v>91</v>
      </c>
      <c r="H146" s="19" t="s">
        <v>139</v>
      </c>
      <c r="I146" s="18">
        <v>15.106666666666667</v>
      </c>
      <c r="J146" s="17" t="s">
        <v>540</v>
      </c>
      <c r="K146" s="17" t="s">
        <v>105</v>
      </c>
      <c r="L146" s="17"/>
      <c r="M146" s="17"/>
      <c r="N146" s="16" t="str">
        <f>HYPERLINK("http://slimages.macys.com/is/image/MCY/18889535 ")</f>
        <v xml:space="preserve">http://slimages.macys.com/is/image/MCY/18889535 </v>
      </c>
      <c r="O146" s="30"/>
    </row>
    <row r="147" spans="1:15" ht="48" x14ac:dyDescent="0.25">
      <c r="A147" s="19" t="s">
        <v>5117</v>
      </c>
      <c r="B147" s="17" t="s">
        <v>5116</v>
      </c>
      <c r="C147" s="20">
        <v>1</v>
      </c>
      <c r="D147" s="18">
        <v>22.64</v>
      </c>
      <c r="E147" s="18">
        <v>59.98</v>
      </c>
      <c r="F147" s="20" t="s">
        <v>5115</v>
      </c>
      <c r="G147" s="17" t="s">
        <v>28</v>
      </c>
      <c r="H147" s="19" t="s">
        <v>4021</v>
      </c>
      <c r="I147" s="18">
        <v>15.093333333333332</v>
      </c>
      <c r="J147" s="17" t="s">
        <v>33</v>
      </c>
      <c r="K147" s="17" t="s">
        <v>32</v>
      </c>
      <c r="L147" s="17" t="s">
        <v>389</v>
      </c>
      <c r="M147" s="17" t="s">
        <v>3658</v>
      </c>
      <c r="N147" s="16" t="str">
        <f>HYPERLINK("http://slimages.macys.com/is/image/MCY/14891072 ")</f>
        <v xml:space="preserve">http://slimages.macys.com/is/image/MCY/14891072 </v>
      </c>
      <c r="O147" s="30"/>
    </row>
    <row r="148" spans="1:15" ht="48" x14ac:dyDescent="0.25">
      <c r="A148" s="19" t="s">
        <v>3739</v>
      </c>
      <c r="B148" s="17" t="s">
        <v>3738</v>
      </c>
      <c r="C148" s="20">
        <v>1</v>
      </c>
      <c r="D148" s="18">
        <v>22.45</v>
      </c>
      <c r="E148" s="18">
        <v>79.5</v>
      </c>
      <c r="F148" s="20" t="s">
        <v>3737</v>
      </c>
      <c r="G148" s="17" t="s">
        <v>330</v>
      </c>
      <c r="H148" s="19" t="s">
        <v>351</v>
      </c>
      <c r="I148" s="18">
        <v>14.966666666666669</v>
      </c>
      <c r="J148" s="17" t="s">
        <v>1891</v>
      </c>
      <c r="K148" s="17" t="s">
        <v>2435</v>
      </c>
      <c r="L148" s="17"/>
      <c r="M148" s="17"/>
      <c r="N148" s="16" t="str">
        <f>HYPERLINK("http://slimages.macys.com/is/image/MCY/19507875 ")</f>
        <v xml:space="preserve">http://slimages.macys.com/is/image/MCY/19507875 </v>
      </c>
      <c r="O148" s="30"/>
    </row>
    <row r="149" spans="1:15" ht="48" x14ac:dyDescent="0.25">
      <c r="A149" s="19" t="s">
        <v>5114</v>
      </c>
      <c r="B149" s="17" t="s">
        <v>5113</v>
      </c>
      <c r="C149" s="20">
        <v>1</v>
      </c>
      <c r="D149" s="18">
        <v>22.4</v>
      </c>
      <c r="E149" s="18">
        <v>59.25</v>
      </c>
      <c r="F149" s="20">
        <v>10758381</v>
      </c>
      <c r="G149" s="17" t="s">
        <v>359</v>
      </c>
      <c r="H149" s="19" t="s">
        <v>3931</v>
      </c>
      <c r="I149" s="18">
        <v>14.933333333333335</v>
      </c>
      <c r="J149" s="17" t="s">
        <v>33</v>
      </c>
      <c r="K149" s="17" t="s">
        <v>143</v>
      </c>
      <c r="L149" s="17"/>
      <c r="M149" s="17"/>
      <c r="N149" s="16" t="str">
        <f>HYPERLINK("http://slimages.macys.com/is/image/MCY/18301564 ")</f>
        <v xml:space="preserve">http://slimages.macys.com/is/image/MCY/18301564 </v>
      </c>
      <c r="O149" s="30"/>
    </row>
    <row r="150" spans="1:15" ht="48" x14ac:dyDescent="0.25">
      <c r="A150" s="19" t="s">
        <v>5112</v>
      </c>
      <c r="B150" s="17" t="s">
        <v>5111</v>
      </c>
      <c r="C150" s="20">
        <v>1</v>
      </c>
      <c r="D150" s="18">
        <v>22.37</v>
      </c>
      <c r="E150" s="18">
        <v>59.25</v>
      </c>
      <c r="F150" s="20" t="s">
        <v>3726</v>
      </c>
      <c r="G150" s="17" t="s">
        <v>272</v>
      </c>
      <c r="H150" s="19" t="s">
        <v>1968</v>
      </c>
      <c r="I150" s="18">
        <v>14.913333333333334</v>
      </c>
      <c r="J150" s="17" t="s">
        <v>33</v>
      </c>
      <c r="K150" s="17" t="s">
        <v>32</v>
      </c>
      <c r="L150" s="17"/>
      <c r="M150" s="17"/>
      <c r="N150" s="16" t="str">
        <f>HYPERLINK("http://slimages.macys.com/is/image/MCY/19722949 ")</f>
        <v xml:space="preserve">http://slimages.macys.com/is/image/MCY/19722949 </v>
      </c>
      <c r="O150" s="30"/>
    </row>
    <row r="151" spans="1:15" ht="48" x14ac:dyDescent="0.25">
      <c r="A151" s="19" t="s">
        <v>5110</v>
      </c>
      <c r="B151" s="17" t="s">
        <v>5109</v>
      </c>
      <c r="C151" s="20">
        <v>1</v>
      </c>
      <c r="D151" s="18">
        <v>22.25</v>
      </c>
      <c r="E151" s="18">
        <v>89</v>
      </c>
      <c r="F151" s="20">
        <v>8159956</v>
      </c>
      <c r="G151" s="17" t="s">
        <v>35</v>
      </c>
      <c r="H151" s="19" t="s">
        <v>50</v>
      </c>
      <c r="I151" s="18">
        <v>14.833333333333334</v>
      </c>
      <c r="J151" s="17" t="s">
        <v>129</v>
      </c>
      <c r="K151" s="17" t="s">
        <v>128</v>
      </c>
      <c r="L151" s="17"/>
      <c r="M151" s="17"/>
      <c r="N151" s="16" t="str">
        <f>HYPERLINK("http://slimages.macys.com/is/image/MCY/18614684 ")</f>
        <v xml:space="preserve">http://slimages.macys.com/is/image/MCY/18614684 </v>
      </c>
      <c r="O151" s="30"/>
    </row>
    <row r="152" spans="1:15" ht="48" x14ac:dyDescent="0.25">
      <c r="A152" s="19" t="s">
        <v>5108</v>
      </c>
      <c r="B152" s="17" t="s">
        <v>5107</v>
      </c>
      <c r="C152" s="20">
        <v>1</v>
      </c>
      <c r="D152" s="18">
        <v>22.25</v>
      </c>
      <c r="E152" s="18">
        <v>89</v>
      </c>
      <c r="F152" s="20">
        <v>10555634</v>
      </c>
      <c r="G152" s="17" t="s">
        <v>51</v>
      </c>
      <c r="H152" s="19" t="s">
        <v>658</v>
      </c>
      <c r="I152" s="18">
        <v>14.833333333333334</v>
      </c>
      <c r="J152" s="17" t="s">
        <v>144</v>
      </c>
      <c r="K152" s="17" t="s">
        <v>1211</v>
      </c>
      <c r="L152" s="17" t="s">
        <v>389</v>
      </c>
      <c r="M152" s="17" t="s">
        <v>1167</v>
      </c>
      <c r="N152" s="16" t="str">
        <f>HYPERLINK("http://slimages.macys.com/is/image/MCY/3450800 ")</f>
        <v xml:space="preserve">http://slimages.macys.com/is/image/MCY/3450800 </v>
      </c>
      <c r="O152" s="30"/>
    </row>
    <row r="153" spans="1:15" ht="48" x14ac:dyDescent="0.25">
      <c r="A153" s="19" t="s">
        <v>5106</v>
      </c>
      <c r="B153" s="17" t="s">
        <v>5105</v>
      </c>
      <c r="C153" s="20">
        <v>1</v>
      </c>
      <c r="D153" s="18">
        <v>21.83</v>
      </c>
      <c r="E153" s="18">
        <v>59</v>
      </c>
      <c r="F153" s="20">
        <v>10732558</v>
      </c>
      <c r="G153" s="17" t="s">
        <v>272</v>
      </c>
      <c r="H153" s="19" t="s">
        <v>271</v>
      </c>
      <c r="I153" s="18">
        <v>14.553333333333333</v>
      </c>
      <c r="J153" s="17" t="s">
        <v>358</v>
      </c>
      <c r="K153" s="17" t="s">
        <v>1211</v>
      </c>
      <c r="L153" s="17" t="s">
        <v>389</v>
      </c>
      <c r="M153" s="17" t="s">
        <v>662</v>
      </c>
      <c r="N153" s="16" t="str">
        <f>HYPERLINK("http://slimages.macys.com/is/image/MCY/15250822 ")</f>
        <v xml:space="preserve">http://slimages.macys.com/is/image/MCY/15250822 </v>
      </c>
      <c r="O153" s="30"/>
    </row>
    <row r="154" spans="1:15" ht="48" x14ac:dyDescent="0.25">
      <c r="A154" s="19" t="s">
        <v>5104</v>
      </c>
      <c r="B154" s="17" t="s">
        <v>5103</v>
      </c>
      <c r="C154" s="20">
        <v>1</v>
      </c>
      <c r="D154" s="18">
        <v>21.74</v>
      </c>
      <c r="E154" s="18">
        <v>51.75</v>
      </c>
      <c r="F154" s="20">
        <v>10778233</v>
      </c>
      <c r="G154" s="17" t="s">
        <v>63</v>
      </c>
      <c r="H154" s="19" t="s">
        <v>669</v>
      </c>
      <c r="I154" s="18">
        <v>14.493333333333334</v>
      </c>
      <c r="J154" s="17" t="s">
        <v>33</v>
      </c>
      <c r="K154" s="17" t="s">
        <v>143</v>
      </c>
      <c r="L154" s="17"/>
      <c r="M154" s="17"/>
      <c r="N154" s="16" t="str">
        <f>HYPERLINK("http://slimages.macys.com/is/image/MCY/17749974 ")</f>
        <v xml:space="preserve">http://slimages.macys.com/is/image/MCY/17749974 </v>
      </c>
      <c r="O154" s="30"/>
    </row>
    <row r="155" spans="1:15" ht="48" x14ac:dyDescent="0.25">
      <c r="A155" s="19" t="s">
        <v>5102</v>
      </c>
      <c r="B155" s="17" t="s">
        <v>5101</v>
      </c>
      <c r="C155" s="20">
        <v>1</v>
      </c>
      <c r="D155" s="18">
        <v>21.74</v>
      </c>
      <c r="E155" s="18">
        <v>59.25</v>
      </c>
      <c r="F155" s="20">
        <v>10735730</v>
      </c>
      <c r="G155" s="17" t="s">
        <v>544</v>
      </c>
      <c r="H155" s="19" t="s">
        <v>916</v>
      </c>
      <c r="I155" s="18">
        <v>14.493333333333334</v>
      </c>
      <c r="J155" s="17" t="s">
        <v>358</v>
      </c>
      <c r="K155" s="17" t="s">
        <v>143</v>
      </c>
      <c r="L155" s="17"/>
      <c r="M155" s="17"/>
      <c r="N155" s="16" t="str">
        <f>HYPERLINK("http://slimages.macys.com/is/image/MCY/19486565 ")</f>
        <v xml:space="preserve">http://slimages.macys.com/is/image/MCY/19486565 </v>
      </c>
      <c r="O155" s="30"/>
    </row>
    <row r="156" spans="1:15" ht="48" x14ac:dyDescent="0.25">
      <c r="A156" s="19" t="s">
        <v>5100</v>
      </c>
      <c r="B156" s="17" t="s">
        <v>5099</v>
      </c>
      <c r="C156" s="20">
        <v>1</v>
      </c>
      <c r="D156" s="18">
        <v>21.74</v>
      </c>
      <c r="E156" s="18">
        <v>51.75</v>
      </c>
      <c r="F156" s="20">
        <v>10804502</v>
      </c>
      <c r="G156" s="17" t="s">
        <v>23</v>
      </c>
      <c r="H156" s="19" t="s">
        <v>139</v>
      </c>
      <c r="I156" s="18">
        <v>14.493333333333334</v>
      </c>
      <c r="J156" s="17" t="s">
        <v>358</v>
      </c>
      <c r="K156" s="17" t="s">
        <v>143</v>
      </c>
      <c r="L156" s="17"/>
      <c r="M156" s="17"/>
      <c r="N156" s="16" t="str">
        <f>HYPERLINK("http://slimages.macys.com/is/image/MCY/19096315 ")</f>
        <v xml:space="preserve">http://slimages.macys.com/is/image/MCY/19096315 </v>
      </c>
      <c r="O156" s="30"/>
    </row>
    <row r="157" spans="1:15" ht="48" x14ac:dyDescent="0.25">
      <c r="A157" s="19" t="s">
        <v>5098</v>
      </c>
      <c r="B157" s="17" t="s">
        <v>5097</v>
      </c>
      <c r="C157" s="20">
        <v>1</v>
      </c>
      <c r="D157" s="18">
        <v>21.74</v>
      </c>
      <c r="E157" s="18">
        <v>59.25</v>
      </c>
      <c r="F157" s="20">
        <v>10735730</v>
      </c>
      <c r="G157" s="17" t="s">
        <v>544</v>
      </c>
      <c r="H157" s="19" t="s">
        <v>1292</v>
      </c>
      <c r="I157" s="18">
        <v>14.493333333333334</v>
      </c>
      <c r="J157" s="17" t="s">
        <v>358</v>
      </c>
      <c r="K157" s="17" t="s">
        <v>143</v>
      </c>
      <c r="L157" s="17"/>
      <c r="M157" s="17"/>
      <c r="N157" s="16" t="str">
        <f>HYPERLINK("http://slimages.macys.com/is/image/MCY/19486565 ")</f>
        <v xml:space="preserve">http://slimages.macys.com/is/image/MCY/19486565 </v>
      </c>
      <c r="O157" s="30"/>
    </row>
    <row r="158" spans="1:15" ht="48" x14ac:dyDescent="0.25">
      <c r="A158" s="19" t="s">
        <v>3691</v>
      </c>
      <c r="B158" s="17" t="s">
        <v>3690</v>
      </c>
      <c r="C158" s="20">
        <v>1</v>
      </c>
      <c r="D158" s="18">
        <v>21.74</v>
      </c>
      <c r="E158" s="18">
        <v>59.25</v>
      </c>
      <c r="F158" s="20">
        <v>10735730</v>
      </c>
      <c r="G158" s="17" t="s">
        <v>544</v>
      </c>
      <c r="H158" s="19" t="s">
        <v>880</v>
      </c>
      <c r="I158" s="18">
        <v>14.493333333333334</v>
      </c>
      <c r="J158" s="17" t="s">
        <v>358</v>
      </c>
      <c r="K158" s="17" t="s">
        <v>143</v>
      </c>
      <c r="L158" s="17"/>
      <c r="M158" s="17"/>
      <c r="N158" s="16" t="str">
        <f>HYPERLINK("http://slimages.macys.com/is/image/MCY/19486565 ")</f>
        <v xml:space="preserve">http://slimages.macys.com/is/image/MCY/19486565 </v>
      </c>
      <c r="O158" s="30"/>
    </row>
    <row r="159" spans="1:15" ht="48" x14ac:dyDescent="0.25">
      <c r="A159" s="19" t="s">
        <v>5096</v>
      </c>
      <c r="B159" s="17" t="s">
        <v>5095</v>
      </c>
      <c r="C159" s="20">
        <v>1</v>
      </c>
      <c r="D159" s="18">
        <v>21.74</v>
      </c>
      <c r="E159" s="18">
        <v>59.25</v>
      </c>
      <c r="F159" s="20">
        <v>10735730</v>
      </c>
      <c r="G159" s="17" t="s">
        <v>544</v>
      </c>
      <c r="H159" s="19" t="s">
        <v>1445</v>
      </c>
      <c r="I159" s="18">
        <v>14.493333333333334</v>
      </c>
      <c r="J159" s="17" t="s">
        <v>358</v>
      </c>
      <c r="K159" s="17" t="s">
        <v>143</v>
      </c>
      <c r="L159" s="17"/>
      <c r="M159" s="17"/>
      <c r="N159" s="16" t="str">
        <f>HYPERLINK("http://slimages.macys.com/is/image/MCY/19486565 ")</f>
        <v xml:space="preserve">http://slimages.macys.com/is/image/MCY/19486565 </v>
      </c>
      <c r="O159" s="30"/>
    </row>
    <row r="160" spans="1:15" ht="48" x14ac:dyDescent="0.25">
      <c r="A160" s="19" t="s">
        <v>5094</v>
      </c>
      <c r="B160" s="17" t="s">
        <v>5093</v>
      </c>
      <c r="C160" s="20">
        <v>1</v>
      </c>
      <c r="D160" s="18">
        <v>21.74</v>
      </c>
      <c r="E160" s="18">
        <v>51.75</v>
      </c>
      <c r="F160" s="20">
        <v>10763861</v>
      </c>
      <c r="G160" s="17" t="s">
        <v>23</v>
      </c>
      <c r="H160" s="19" t="s">
        <v>4021</v>
      </c>
      <c r="I160" s="18">
        <v>14.493333333333334</v>
      </c>
      <c r="J160" s="17" t="s">
        <v>33</v>
      </c>
      <c r="K160" s="17" t="s">
        <v>143</v>
      </c>
      <c r="L160" s="17"/>
      <c r="M160" s="17"/>
      <c r="N160" s="16" t="str">
        <f>HYPERLINK("http://slimages.macys.com/is/image/MCY/18301576 ")</f>
        <v xml:space="preserve">http://slimages.macys.com/is/image/MCY/18301576 </v>
      </c>
      <c r="O160" s="30"/>
    </row>
    <row r="161" spans="1:15" ht="48" x14ac:dyDescent="0.25">
      <c r="A161" s="19" t="s">
        <v>5092</v>
      </c>
      <c r="B161" s="17" t="s">
        <v>5091</v>
      </c>
      <c r="C161" s="20">
        <v>1</v>
      </c>
      <c r="D161" s="18">
        <v>21.74</v>
      </c>
      <c r="E161" s="18">
        <v>51.75</v>
      </c>
      <c r="F161" s="20">
        <v>10762542</v>
      </c>
      <c r="G161" s="17" t="s">
        <v>140</v>
      </c>
      <c r="H161" s="19" t="s">
        <v>139</v>
      </c>
      <c r="I161" s="18">
        <v>14.493333333333334</v>
      </c>
      <c r="J161" s="17" t="s">
        <v>358</v>
      </c>
      <c r="K161" s="17" t="s">
        <v>143</v>
      </c>
      <c r="L161" s="17"/>
      <c r="M161" s="17"/>
      <c r="N161" s="16" t="str">
        <f>HYPERLINK("http://slimages.macys.com/is/image/MCY/18954079 ")</f>
        <v xml:space="preserve">http://slimages.macys.com/is/image/MCY/18954079 </v>
      </c>
      <c r="O161" s="30"/>
    </row>
    <row r="162" spans="1:15" ht="48" x14ac:dyDescent="0.25">
      <c r="A162" s="19" t="s">
        <v>5090</v>
      </c>
      <c r="B162" s="17" t="s">
        <v>5089</v>
      </c>
      <c r="C162" s="20">
        <v>1</v>
      </c>
      <c r="D162" s="18">
        <v>20.7</v>
      </c>
      <c r="E162" s="18">
        <v>69</v>
      </c>
      <c r="F162" s="20">
        <v>10804950</v>
      </c>
      <c r="G162" s="17" t="s">
        <v>282</v>
      </c>
      <c r="H162" s="19" t="s">
        <v>271</v>
      </c>
      <c r="I162" s="18">
        <v>13.799999999999999</v>
      </c>
      <c r="J162" s="17" t="s">
        <v>358</v>
      </c>
      <c r="K162" s="17" t="s">
        <v>554</v>
      </c>
      <c r="L162" s="17"/>
      <c r="M162" s="17"/>
      <c r="N162" s="16" t="str">
        <f>HYPERLINK("http://slimages.macys.com/is/image/MCY/19205603 ")</f>
        <v xml:space="preserve">http://slimages.macys.com/is/image/MCY/19205603 </v>
      </c>
      <c r="O162" s="30"/>
    </row>
    <row r="163" spans="1:15" ht="48" x14ac:dyDescent="0.25">
      <c r="A163" s="19" t="s">
        <v>5088</v>
      </c>
      <c r="B163" s="17" t="s">
        <v>5087</v>
      </c>
      <c r="C163" s="20">
        <v>1</v>
      </c>
      <c r="D163" s="18">
        <v>20.5</v>
      </c>
      <c r="E163" s="18">
        <v>79</v>
      </c>
      <c r="F163" s="20" t="s">
        <v>3669</v>
      </c>
      <c r="G163" s="17" t="s">
        <v>216</v>
      </c>
      <c r="H163" s="19" t="s">
        <v>5086</v>
      </c>
      <c r="I163" s="18">
        <v>13.666666666666666</v>
      </c>
      <c r="J163" s="17" t="s">
        <v>550</v>
      </c>
      <c r="K163" s="17" t="s">
        <v>1090</v>
      </c>
      <c r="L163" s="17"/>
      <c r="M163" s="17"/>
      <c r="N163" s="16" t="str">
        <f>HYPERLINK("http://slimages.macys.com/is/image/MCY/17942386 ")</f>
        <v xml:space="preserve">http://slimages.macys.com/is/image/MCY/17942386 </v>
      </c>
      <c r="O163" s="30"/>
    </row>
    <row r="164" spans="1:15" ht="48" x14ac:dyDescent="0.25">
      <c r="A164" s="19" t="s">
        <v>5085</v>
      </c>
      <c r="B164" s="17" t="s">
        <v>5084</v>
      </c>
      <c r="C164" s="20">
        <v>1</v>
      </c>
      <c r="D164" s="18">
        <v>20.29</v>
      </c>
      <c r="E164" s="18">
        <v>69</v>
      </c>
      <c r="F164" s="20" t="s">
        <v>5083</v>
      </c>
      <c r="G164" s="17" t="s">
        <v>149</v>
      </c>
      <c r="H164" s="19" t="s">
        <v>197</v>
      </c>
      <c r="I164" s="18">
        <v>13.526666666666667</v>
      </c>
      <c r="J164" s="17" t="s">
        <v>492</v>
      </c>
      <c r="K164" s="17" t="s">
        <v>491</v>
      </c>
      <c r="L164" s="17"/>
      <c r="M164" s="17"/>
      <c r="N164" s="16" t="str">
        <f>HYPERLINK("http://slimages.macys.com/is/image/MCY/19410486 ")</f>
        <v xml:space="preserve">http://slimages.macys.com/is/image/MCY/19410486 </v>
      </c>
      <c r="O164" s="30"/>
    </row>
    <row r="165" spans="1:15" ht="48" x14ac:dyDescent="0.25">
      <c r="A165" s="19" t="s">
        <v>5082</v>
      </c>
      <c r="B165" s="17" t="s">
        <v>5081</v>
      </c>
      <c r="C165" s="20">
        <v>4</v>
      </c>
      <c r="D165" s="18">
        <v>20</v>
      </c>
      <c r="E165" s="18">
        <v>74</v>
      </c>
      <c r="F165" s="20" t="s">
        <v>1936</v>
      </c>
      <c r="G165" s="17" t="s">
        <v>1382</v>
      </c>
      <c r="H165" s="19" t="s">
        <v>57</v>
      </c>
      <c r="I165" s="18">
        <v>13.333333333333334</v>
      </c>
      <c r="J165" s="17" t="s">
        <v>148</v>
      </c>
      <c r="K165" s="17" t="s">
        <v>409</v>
      </c>
      <c r="L165" s="17"/>
      <c r="M165" s="17"/>
      <c r="N165" s="16" t="str">
        <f>HYPERLINK("http://slimages.macys.com/is/image/MCY/18860435 ")</f>
        <v xml:space="preserve">http://slimages.macys.com/is/image/MCY/18860435 </v>
      </c>
      <c r="O165" s="30"/>
    </row>
    <row r="166" spans="1:15" ht="48" x14ac:dyDescent="0.25">
      <c r="A166" s="19" t="s">
        <v>5080</v>
      </c>
      <c r="B166" s="17" t="s">
        <v>5079</v>
      </c>
      <c r="C166" s="20">
        <v>1</v>
      </c>
      <c r="D166" s="18">
        <v>19.88</v>
      </c>
      <c r="E166" s="18">
        <v>79.5</v>
      </c>
      <c r="F166" s="20">
        <v>30159498</v>
      </c>
      <c r="G166" s="17" t="s">
        <v>575</v>
      </c>
      <c r="H166" s="19" t="s">
        <v>197</v>
      </c>
      <c r="I166" s="18">
        <v>13.253333333333334</v>
      </c>
      <c r="J166" s="17" t="s">
        <v>481</v>
      </c>
      <c r="K166" s="17" t="s">
        <v>480</v>
      </c>
      <c r="L166" s="17"/>
      <c r="M166" s="17"/>
      <c r="N166" s="16" t="str">
        <f>HYPERLINK("http://slimages.macys.com/is/image/MCY/21169379 ")</f>
        <v xml:space="preserve">http://slimages.macys.com/is/image/MCY/21169379 </v>
      </c>
      <c r="O166" s="30"/>
    </row>
    <row r="167" spans="1:15" ht="48" x14ac:dyDescent="0.25">
      <c r="A167" s="19" t="s">
        <v>5078</v>
      </c>
      <c r="B167" s="17" t="s">
        <v>5077</v>
      </c>
      <c r="C167" s="20">
        <v>1</v>
      </c>
      <c r="D167" s="18">
        <v>19.88</v>
      </c>
      <c r="E167" s="18">
        <v>79.5</v>
      </c>
      <c r="F167" s="20">
        <v>30157137</v>
      </c>
      <c r="G167" s="17" t="s">
        <v>28</v>
      </c>
      <c r="H167" s="19" t="s">
        <v>898</v>
      </c>
      <c r="I167" s="18">
        <v>13.253333333333334</v>
      </c>
      <c r="J167" s="17" t="s">
        <v>481</v>
      </c>
      <c r="K167" s="17" t="s">
        <v>480</v>
      </c>
      <c r="L167" s="17"/>
      <c r="M167" s="17"/>
      <c r="N167" s="16" t="str">
        <f>HYPERLINK("http://slimages.macys.com/is/image/MCY/21168155 ")</f>
        <v xml:space="preserve">http://slimages.macys.com/is/image/MCY/21168155 </v>
      </c>
      <c r="O167" s="30"/>
    </row>
    <row r="168" spans="1:15" ht="48" x14ac:dyDescent="0.25">
      <c r="A168" s="19" t="s">
        <v>5076</v>
      </c>
      <c r="B168" s="17" t="s">
        <v>5075</v>
      </c>
      <c r="C168" s="20">
        <v>1</v>
      </c>
      <c r="D168" s="18">
        <v>19.75</v>
      </c>
      <c r="E168" s="18">
        <v>79</v>
      </c>
      <c r="F168" s="20">
        <v>10737412</v>
      </c>
      <c r="G168" s="17" t="s">
        <v>555</v>
      </c>
      <c r="H168" s="19" t="s">
        <v>116</v>
      </c>
      <c r="I168" s="18">
        <v>13.166666666666668</v>
      </c>
      <c r="J168" s="17" t="s">
        <v>144</v>
      </c>
      <c r="K168" s="17" t="s">
        <v>1211</v>
      </c>
      <c r="L168" s="17" t="s">
        <v>389</v>
      </c>
      <c r="M168" s="17" t="s">
        <v>5074</v>
      </c>
      <c r="N168" s="16" t="str">
        <f>HYPERLINK("http://slimages.macys.com/is/image/MCY/15219814 ")</f>
        <v xml:space="preserve">http://slimages.macys.com/is/image/MCY/15219814 </v>
      </c>
      <c r="O168" s="30"/>
    </row>
    <row r="169" spans="1:15" ht="48" x14ac:dyDescent="0.25">
      <c r="A169" s="19" t="s">
        <v>2730</v>
      </c>
      <c r="B169" s="17" t="s">
        <v>2729</v>
      </c>
      <c r="C169" s="20">
        <v>2</v>
      </c>
      <c r="D169" s="18">
        <v>19.63</v>
      </c>
      <c r="E169" s="18">
        <v>69.5</v>
      </c>
      <c r="F169" s="20" t="s">
        <v>2728</v>
      </c>
      <c r="G169" s="17" t="s">
        <v>330</v>
      </c>
      <c r="H169" s="19" t="s">
        <v>139</v>
      </c>
      <c r="I169" s="18">
        <v>13.086666666666668</v>
      </c>
      <c r="J169" s="17" t="s">
        <v>1891</v>
      </c>
      <c r="K169" s="17" t="s">
        <v>2435</v>
      </c>
      <c r="L169" s="17"/>
      <c r="M169" s="17"/>
      <c r="N169" s="16" t="str">
        <f>HYPERLINK("http://slimages.macys.com/is/image/MCY/19506604 ")</f>
        <v xml:space="preserve">http://slimages.macys.com/is/image/MCY/19506604 </v>
      </c>
      <c r="O169" s="30"/>
    </row>
    <row r="170" spans="1:15" ht="48" x14ac:dyDescent="0.25">
      <c r="A170" s="19" t="s">
        <v>4425</v>
      </c>
      <c r="B170" s="17" t="s">
        <v>4424</v>
      </c>
      <c r="C170" s="20">
        <v>1</v>
      </c>
      <c r="D170" s="18">
        <v>19.63</v>
      </c>
      <c r="E170" s="18">
        <v>69.5</v>
      </c>
      <c r="F170" s="20" t="s">
        <v>4423</v>
      </c>
      <c r="G170" s="17" t="s">
        <v>23</v>
      </c>
      <c r="H170" s="19" t="s">
        <v>57</v>
      </c>
      <c r="I170" s="18">
        <v>13.086666666666668</v>
      </c>
      <c r="J170" s="17" t="s">
        <v>68</v>
      </c>
      <c r="K170" s="17" t="s">
        <v>67</v>
      </c>
      <c r="L170" s="17"/>
      <c r="M170" s="17"/>
      <c r="N170" s="16" t="str">
        <f>HYPERLINK("http://slimages.macys.com/is/image/MCY/19180350 ")</f>
        <v xml:space="preserve">http://slimages.macys.com/is/image/MCY/19180350 </v>
      </c>
      <c r="O170" s="30"/>
    </row>
    <row r="171" spans="1:15" ht="48" x14ac:dyDescent="0.25">
      <c r="A171" s="19" t="s">
        <v>5073</v>
      </c>
      <c r="B171" s="17" t="s">
        <v>5072</v>
      </c>
      <c r="C171" s="20">
        <v>1</v>
      </c>
      <c r="D171" s="18">
        <v>19.63</v>
      </c>
      <c r="E171" s="18">
        <v>69.5</v>
      </c>
      <c r="F171" s="20" t="s">
        <v>5071</v>
      </c>
      <c r="G171" s="17" t="s">
        <v>28</v>
      </c>
      <c r="H171" s="19" t="s">
        <v>69</v>
      </c>
      <c r="I171" s="18">
        <v>13.086666666666668</v>
      </c>
      <c r="J171" s="17" t="s">
        <v>68</v>
      </c>
      <c r="K171" s="17" t="s">
        <v>67</v>
      </c>
      <c r="L171" s="17"/>
      <c r="M171" s="17"/>
      <c r="N171" s="16" t="str">
        <f>HYPERLINK("http://slimages.macys.com/is/image/MCY/18856825 ")</f>
        <v xml:space="preserve">http://slimages.macys.com/is/image/MCY/18856825 </v>
      </c>
      <c r="O171" s="30"/>
    </row>
    <row r="172" spans="1:15" ht="48" x14ac:dyDescent="0.25">
      <c r="A172" s="19" t="s">
        <v>5070</v>
      </c>
      <c r="B172" s="17" t="s">
        <v>5069</v>
      </c>
      <c r="C172" s="20">
        <v>1</v>
      </c>
      <c r="D172" s="18">
        <v>19.63</v>
      </c>
      <c r="E172" s="18">
        <v>69.5</v>
      </c>
      <c r="F172" s="20" t="s">
        <v>446</v>
      </c>
      <c r="G172" s="17" t="s">
        <v>63</v>
      </c>
      <c r="H172" s="19" t="s">
        <v>197</v>
      </c>
      <c r="I172" s="18">
        <v>13.086666666666668</v>
      </c>
      <c r="J172" s="17" t="s">
        <v>56</v>
      </c>
      <c r="K172" s="17" t="s">
        <v>55</v>
      </c>
      <c r="L172" s="17"/>
      <c r="M172" s="17"/>
      <c r="N172" s="16" t="str">
        <f>HYPERLINK("http://slimages.macys.com/is/image/MCY/19379134 ")</f>
        <v xml:space="preserve">http://slimages.macys.com/is/image/MCY/19379134 </v>
      </c>
      <c r="O172" s="30"/>
    </row>
    <row r="173" spans="1:15" ht="48" x14ac:dyDescent="0.25">
      <c r="A173" s="19" t="s">
        <v>5068</v>
      </c>
      <c r="B173" s="17" t="s">
        <v>5067</v>
      </c>
      <c r="C173" s="20">
        <v>1</v>
      </c>
      <c r="D173" s="18">
        <v>19.63</v>
      </c>
      <c r="E173" s="18">
        <v>69.5</v>
      </c>
      <c r="F173" s="20" t="s">
        <v>5066</v>
      </c>
      <c r="G173" s="17" t="s">
        <v>58</v>
      </c>
      <c r="H173" s="19"/>
      <c r="I173" s="18">
        <v>13.086666666666668</v>
      </c>
      <c r="J173" s="17" t="s">
        <v>1891</v>
      </c>
      <c r="K173" s="17" t="s">
        <v>2435</v>
      </c>
      <c r="L173" s="17"/>
      <c r="M173" s="17"/>
      <c r="N173" s="16" t="str">
        <f>HYPERLINK("http://slimages.macys.com/is/image/MCY/19186640 ")</f>
        <v xml:space="preserve">http://slimages.macys.com/is/image/MCY/19186640 </v>
      </c>
      <c r="O173" s="30"/>
    </row>
    <row r="174" spans="1:15" ht="48" x14ac:dyDescent="0.25">
      <c r="A174" s="19" t="s">
        <v>3632</v>
      </c>
      <c r="B174" s="17" t="s">
        <v>3631</v>
      </c>
      <c r="C174" s="20">
        <v>1</v>
      </c>
      <c r="D174" s="18">
        <v>19.63</v>
      </c>
      <c r="E174" s="18">
        <v>69.5</v>
      </c>
      <c r="F174" s="20" t="s">
        <v>3601</v>
      </c>
      <c r="G174" s="17" t="s">
        <v>216</v>
      </c>
      <c r="H174" s="19" t="s">
        <v>139</v>
      </c>
      <c r="I174" s="18">
        <v>13.086666666666668</v>
      </c>
      <c r="J174" s="17" t="s">
        <v>1891</v>
      </c>
      <c r="K174" s="17" t="s">
        <v>67</v>
      </c>
      <c r="L174" s="17"/>
      <c r="M174" s="17"/>
      <c r="N174" s="16" t="str">
        <f>HYPERLINK("http://slimages.macys.com/is/image/MCY/18981762 ")</f>
        <v xml:space="preserve">http://slimages.macys.com/is/image/MCY/18981762 </v>
      </c>
      <c r="O174" s="30"/>
    </row>
    <row r="175" spans="1:15" ht="48" x14ac:dyDescent="0.25">
      <c r="A175" s="19" t="s">
        <v>3615</v>
      </c>
      <c r="B175" s="17" t="s">
        <v>3614</v>
      </c>
      <c r="C175" s="20">
        <v>1</v>
      </c>
      <c r="D175" s="18">
        <v>19.63</v>
      </c>
      <c r="E175" s="18">
        <v>69.5</v>
      </c>
      <c r="F175" s="20" t="s">
        <v>452</v>
      </c>
      <c r="G175" s="17" t="s">
        <v>91</v>
      </c>
      <c r="H175" s="19" t="s">
        <v>57</v>
      </c>
      <c r="I175" s="18">
        <v>13.086666666666668</v>
      </c>
      <c r="J175" s="17" t="s">
        <v>56</v>
      </c>
      <c r="K175" s="17" t="s">
        <v>55</v>
      </c>
      <c r="L175" s="17"/>
      <c r="M175" s="17"/>
      <c r="N175" s="16" t="str">
        <f>HYPERLINK("http://slimages.macys.com/is/image/MCY/19395484 ")</f>
        <v xml:space="preserve">http://slimages.macys.com/is/image/MCY/19395484 </v>
      </c>
      <c r="O175" s="30"/>
    </row>
    <row r="176" spans="1:15" ht="48" x14ac:dyDescent="0.25">
      <c r="A176" s="19" t="s">
        <v>5065</v>
      </c>
      <c r="B176" s="17" t="s">
        <v>5064</v>
      </c>
      <c r="C176" s="20">
        <v>1</v>
      </c>
      <c r="D176" s="18">
        <v>19.63</v>
      </c>
      <c r="E176" s="18">
        <v>69.5</v>
      </c>
      <c r="F176" s="20" t="s">
        <v>5063</v>
      </c>
      <c r="G176" s="17" t="s">
        <v>149</v>
      </c>
      <c r="H176" s="19" t="s">
        <v>139</v>
      </c>
      <c r="I176" s="18">
        <v>13.086666666666668</v>
      </c>
      <c r="J176" s="17" t="s">
        <v>1891</v>
      </c>
      <c r="K176" s="17" t="s">
        <v>67</v>
      </c>
      <c r="L176" s="17" t="s">
        <v>389</v>
      </c>
      <c r="M176" s="17" t="s">
        <v>1724</v>
      </c>
      <c r="N176" s="16" t="str">
        <f>HYPERLINK("http://slimages.macys.com/is/image/MCY/11951513 ")</f>
        <v xml:space="preserve">http://slimages.macys.com/is/image/MCY/11951513 </v>
      </c>
      <c r="O176" s="30"/>
    </row>
    <row r="177" spans="1:15" ht="48" x14ac:dyDescent="0.25">
      <c r="A177" s="19" t="s">
        <v>5062</v>
      </c>
      <c r="B177" s="17" t="s">
        <v>5061</v>
      </c>
      <c r="C177" s="20">
        <v>1</v>
      </c>
      <c r="D177" s="18">
        <v>19.53</v>
      </c>
      <c r="E177" s="18">
        <v>51.75</v>
      </c>
      <c r="F177" s="20" t="s">
        <v>5060</v>
      </c>
      <c r="G177" s="17" t="s">
        <v>23</v>
      </c>
      <c r="H177" s="19" t="s">
        <v>139</v>
      </c>
      <c r="I177" s="18">
        <v>13.020000000000001</v>
      </c>
      <c r="J177" s="17" t="s">
        <v>358</v>
      </c>
      <c r="K177" s="17" t="s">
        <v>32</v>
      </c>
      <c r="L177" s="17"/>
      <c r="M177" s="17"/>
      <c r="N177" s="16" t="str">
        <f>HYPERLINK("http://slimages.macys.com/is/image/MCY/19586400 ")</f>
        <v xml:space="preserve">http://slimages.macys.com/is/image/MCY/19586400 </v>
      </c>
      <c r="O177" s="30"/>
    </row>
    <row r="178" spans="1:15" ht="48" x14ac:dyDescent="0.25">
      <c r="A178" s="19" t="s">
        <v>1153</v>
      </c>
      <c r="B178" s="17" t="s">
        <v>1152</v>
      </c>
      <c r="C178" s="20">
        <v>5</v>
      </c>
      <c r="D178" s="18">
        <v>19.53</v>
      </c>
      <c r="E178" s="18">
        <v>51.75</v>
      </c>
      <c r="F178" s="20" t="s">
        <v>1144</v>
      </c>
      <c r="G178" s="17" t="s">
        <v>272</v>
      </c>
      <c r="H178" s="19" t="s">
        <v>139</v>
      </c>
      <c r="I178" s="18">
        <v>13.020000000000001</v>
      </c>
      <c r="J178" s="17" t="s">
        <v>358</v>
      </c>
      <c r="K178" s="17" t="s">
        <v>32</v>
      </c>
      <c r="L178" s="17"/>
      <c r="M178" s="17"/>
      <c r="N178" s="16" t="str">
        <f>HYPERLINK("http://slimages.macys.com/is/image/MCY/19728027 ")</f>
        <v xml:space="preserve">http://slimages.macys.com/is/image/MCY/19728027 </v>
      </c>
      <c r="O178" s="30"/>
    </row>
    <row r="179" spans="1:15" ht="48" x14ac:dyDescent="0.25">
      <c r="A179" s="19" t="s">
        <v>1151</v>
      </c>
      <c r="B179" s="17" t="s">
        <v>1150</v>
      </c>
      <c r="C179" s="20">
        <v>1</v>
      </c>
      <c r="D179" s="18">
        <v>19.53</v>
      </c>
      <c r="E179" s="18">
        <v>51.75</v>
      </c>
      <c r="F179" s="20" t="s">
        <v>1144</v>
      </c>
      <c r="G179" s="17" t="s">
        <v>272</v>
      </c>
      <c r="H179" s="19" t="s">
        <v>351</v>
      </c>
      <c r="I179" s="18">
        <v>13.020000000000001</v>
      </c>
      <c r="J179" s="17" t="s">
        <v>358</v>
      </c>
      <c r="K179" s="17" t="s">
        <v>32</v>
      </c>
      <c r="L179" s="17"/>
      <c r="M179" s="17"/>
      <c r="N179" s="16" t="str">
        <f>HYPERLINK("http://slimages.macys.com/is/image/MCY/19728027 ")</f>
        <v xml:space="preserve">http://slimages.macys.com/is/image/MCY/19728027 </v>
      </c>
      <c r="O179" s="30"/>
    </row>
    <row r="180" spans="1:15" ht="48" x14ac:dyDescent="0.25">
      <c r="A180" s="19" t="s">
        <v>1146</v>
      </c>
      <c r="B180" s="17" t="s">
        <v>1145</v>
      </c>
      <c r="C180" s="20">
        <v>1</v>
      </c>
      <c r="D180" s="18">
        <v>19.53</v>
      </c>
      <c r="E180" s="18">
        <v>51.75</v>
      </c>
      <c r="F180" s="20" t="s">
        <v>1144</v>
      </c>
      <c r="G180" s="17" t="s">
        <v>272</v>
      </c>
      <c r="H180" s="19" t="s">
        <v>271</v>
      </c>
      <c r="I180" s="18">
        <v>13.020000000000001</v>
      </c>
      <c r="J180" s="17" t="s">
        <v>358</v>
      </c>
      <c r="K180" s="17" t="s">
        <v>32</v>
      </c>
      <c r="L180" s="17"/>
      <c r="M180" s="17"/>
      <c r="N180" s="16" t="str">
        <f>HYPERLINK("http://slimages.macys.com/is/image/MCY/19728027 ")</f>
        <v xml:space="preserve">http://slimages.macys.com/is/image/MCY/19728027 </v>
      </c>
      <c r="O180" s="30"/>
    </row>
    <row r="181" spans="1:15" ht="48" x14ac:dyDescent="0.25">
      <c r="A181" s="19" t="s">
        <v>5059</v>
      </c>
      <c r="B181" s="17" t="s">
        <v>5058</v>
      </c>
      <c r="C181" s="20">
        <v>1</v>
      </c>
      <c r="D181" s="18">
        <v>19.53</v>
      </c>
      <c r="E181" s="18">
        <v>59</v>
      </c>
      <c r="F181" s="20" t="s">
        <v>3590</v>
      </c>
      <c r="G181" s="17" t="s">
        <v>339</v>
      </c>
      <c r="H181" s="19" t="s">
        <v>17</v>
      </c>
      <c r="I181" s="18">
        <v>13.020000000000001</v>
      </c>
      <c r="J181" s="17" t="s">
        <v>49</v>
      </c>
      <c r="K181" s="17" t="s">
        <v>48</v>
      </c>
      <c r="L181" s="17"/>
      <c r="M181" s="17"/>
      <c r="N181" s="16" t="str">
        <f>HYPERLINK("http://slimages.macys.com/is/image/MCY/18749949 ")</f>
        <v xml:space="preserve">http://slimages.macys.com/is/image/MCY/18749949 </v>
      </c>
      <c r="O181" s="30"/>
    </row>
    <row r="182" spans="1:15" ht="48" x14ac:dyDescent="0.25">
      <c r="A182" s="19" t="s">
        <v>5057</v>
      </c>
      <c r="B182" s="17" t="s">
        <v>5056</v>
      </c>
      <c r="C182" s="20">
        <v>1</v>
      </c>
      <c r="D182" s="18">
        <v>19.489999999999998</v>
      </c>
      <c r="E182" s="18">
        <v>69</v>
      </c>
      <c r="F182" s="20" t="s">
        <v>1130</v>
      </c>
      <c r="G182" s="17" t="s">
        <v>51</v>
      </c>
      <c r="H182" s="19" t="s">
        <v>74</v>
      </c>
      <c r="I182" s="18">
        <v>12.993333333333334</v>
      </c>
      <c r="J182" s="17" t="s">
        <v>56</v>
      </c>
      <c r="K182" s="17" t="s">
        <v>55</v>
      </c>
      <c r="L182" s="17" t="s">
        <v>389</v>
      </c>
      <c r="M182" s="17" t="s">
        <v>1129</v>
      </c>
      <c r="N182" s="16" t="str">
        <f>HYPERLINK("http://slimages.macys.com/is/image/MCY/15870463 ")</f>
        <v xml:space="preserve">http://slimages.macys.com/is/image/MCY/15870463 </v>
      </c>
      <c r="O182" s="30"/>
    </row>
    <row r="183" spans="1:15" ht="48" x14ac:dyDescent="0.25">
      <c r="A183" s="19" t="s">
        <v>5055</v>
      </c>
      <c r="B183" s="17" t="s">
        <v>5054</v>
      </c>
      <c r="C183" s="20">
        <v>1</v>
      </c>
      <c r="D183" s="18">
        <v>19.32</v>
      </c>
      <c r="E183" s="18">
        <v>69</v>
      </c>
      <c r="F183" s="20" t="s">
        <v>5053</v>
      </c>
      <c r="G183" s="17" t="s">
        <v>23</v>
      </c>
      <c r="H183" s="19" t="s">
        <v>69</v>
      </c>
      <c r="I183" s="18">
        <v>12.88</v>
      </c>
      <c r="J183" s="17" t="s">
        <v>820</v>
      </c>
      <c r="K183" s="17" t="s">
        <v>67</v>
      </c>
      <c r="L183" s="17"/>
      <c r="M183" s="17"/>
      <c r="N183" s="16" t="str">
        <f>HYPERLINK("http://slimages.macys.com/is/image/MCY/19686476 ")</f>
        <v xml:space="preserve">http://slimages.macys.com/is/image/MCY/19686476 </v>
      </c>
      <c r="O183" s="30"/>
    </row>
    <row r="184" spans="1:15" ht="48" x14ac:dyDescent="0.25">
      <c r="A184" s="19" t="s">
        <v>5052</v>
      </c>
      <c r="B184" s="17" t="s">
        <v>5051</v>
      </c>
      <c r="C184" s="20">
        <v>9</v>
      </c>
      <c r="D184" s="18">
        <v>18.899999999999999</v>
      </c>
      <c r="E184" s="18">
        <v>48.3</v>
      </c>
      <c r="F184" s="20" t="s">
        <v>1895</v>
      </c>
      <c r="G184" s="17" t="s">
        <v>51</v>
      </c>
      <c r="H184" s="19" t="s">
        <v>74</v>
      </c>
      <c r="I184" s="18">
        <v>12.6</v>
      </c>
      <c r="J184" s="17" t="s">
        <v>42</v>
      </c>
      <c r="K184" s="17" t="s">
        <v>41</v>
      </c>
      <c r="L184" s="17"/>
      <c r="M184" s="17"/>
      <c r="N184" s="16" t="str">
        <f>HYPERLINK("http://slimages.macys.com/is/image/MCY/19187460 ")</f>
        <v xml:space="preserve">http://slimages.macys.com/is/image/MCY/19187460 </v>
      </c>
      <c r="O184" s="30"/>
    </row>
    <row r="185" spans="1:15" ht="48" x14ac:dyDescent="0.25">
      <c r="A185" s="19" t="s">
        <v>5050</v>
      </c>
      <c r="B185" s="17" t="s">
        <v>5049</v>
      </c>
      <c r="C185" s="20">
        <v>1</v>
      </c>
      <c r="D185" s="18">
        <v>18.899999999999999</v>
      </c>
      <c r="E185" s="18">
        <v>48.3</v>
      </c>
      <c r="F185" s="20" t="s">
        <v>5048</v>
      </c>
      <c r="G185" s="17" t="s">
        <v>23</v>
      </c>
      <c r="H185" s="19" t="s">
        <v>57</v>
      </c>
      <c r="I185" s="18">
        <v>12.6</v>
      </c>
      <c r="J185" s="17" t="s">
        <v>42</v>
      </c>
      <c r="K185" s="17" t="s">
        <v>41</v>
      </c>
      <c r="L185" s="17"/>
      <c r="M185" s="17"/>
      <c r="N185" s="16" t="str">
        <f>HYPERLINK("http://slimages.macys.com/is/image/MCY/18545203 ")</f>
        <v xml:space="preserve">http://slimages.macys.com/is/image/MCY/18545203 </v>
      </c>
      <c r="O185" s="30"/>
    </row>
    <row r="186" spans="1:15" ht="48" x14ac:dyDescent="0.25">
      <c r="A186" s="19" t="s">
        <v>5047</v>
      </c>
      <c r="B186" s="17" t="s">
        <v>5046</v>
      </c>
      <c r="C186" s="20">
        <v>1</v>
      </c>
      <c r="D186" s="18">
        <v>18.5</v>
      </c>
      <c r="E186" s="18">
        <v>51.95</v>
      </c>
      <c r="F186" s="20" t="s">
        <v>5045</v>
      </c>
      <c r="G186" s="17" t="s">
        <v>282</v>
      </c>
      <c r="H186" s="19" t="s">
        <v>62</v>
      </c>
      <c r="I186" s="18">
        <v>12.333333333333334</v>
      </c>
      <c r="J186" s="17" t="s">
        <v>148</v>
      </c>
      <c r="K186" s="17" t="s">
        <v>1136</v>
      </c>
      <c r="L186" s="17"/>
      <c r="M186" s="17"/>
      <c r="N186" s="16" t="str">
        <f>HYPERLINK("http://slimages.macys.com/is/image/MCY/18676246 ")</f>
        <v xml:space="preserve">http://slimages.macys.com/is/image/MCY/18676246 </v>
      </c>
      <c r="O186" s="30"/>
    </row>
    <row r="187" spans="1:15" ht="48" x14ac:dyDescent="0.25">
      <c r="A187" s="19" t="s">
        <v>5044</v>
      </c>
      <c r="B187" s="17" t="s">
        <v>5043</v>
      </c>
      <c r="C187" s="20">
        <v>1</v>
      </c>
      <c r="D187" s="18">
        <v>18.29</v>
      </c>
      <c r="E187" s="18">
        <v>59</v>
      </c>
      <c r="F187" s="20">
        <v>10804500</v>
      </c>
      <c r="G187" s="17" t="s">
        <v>23</v>
      </c>
      <c r="H187" s="19" t="s">
        <v>74</v>
      </c>
      <c r="I187" s="18">
        <v>12.193333333333333</v>
      </c>
      <c r="J187" s="17" t="s">
        <v>144</v>
      </c>
      <c r="K187" s="17" t="s">
        <v>143</v>
      </c>
      <c r="L187" s="17"/>
      <c r="M187" s="17"/>
      <c r="N187" s="16" t="str">
        <f>HYPERLINK("http://slimages.macys.com/is/image/MCY/19096173 ")</f>
        <v xml:space="preserve">http://slimages.macys.com/is/image/MCY/19096173 </v>
      </c>
      <c r="O187" s="30"/>
    </row>
    <row r="188" spans="1:15" ht="48" x14ac:dyDescent="0.25">
      <c r="A188" s="19" t="s">
        <v>5042</v>
      </c>
      <c r="B188" s="17" t="s">
        <v>5041</v>
      </c>
      <c r="C188" s="20">
        <v>1</v>
      </c>
      <c r="D188" s="18">
        <v>18.22</v>
      </c>
      <c r="E188" s="18">
        <v>64.5</v>
      </c>
      <c r="F188" s="20" t="s">
        <v>2700</v>
      </c>
      <c r="G188" s="17" t="s">
        <v>35</v>
      </c>
      <c r="H188" s="19" t="s">
        <v>271</v>
      </c>
      <c r="I188" s="18">
        <v>12.146666666666668</v>
      </c>
      <c r="J188" s="17" t="s">
        <v>1891</v>
      </c>
      <c r="K188" s="17" t="s">
        <v>67</v>
      </c>
      <c r="L188" s="17"/>
      <c r="M188" s="17"/>
      <c r="N188" s="16" t="str">
        <f>HYPERLINK("http://slimages.macys.com/is/image/MCY/18589901 ")</f>
        <v xml:space="preserve">http://slimages.macys.com/is/image/MCY/18589901 </v>
      </c>
      <c r="O188" s="30"/>
    </row>
    <row r="189" spans="1:15" ht="48" x14ac:dyDescent="0.25">
      <c r="A189" s="19" t="s">
        <v>5040</v>
      </c>
      <c r="B189" s="17" t="s">
        <v>5039</v>
      </c>
      <c r="C189" s="20">
        <v>1</v>
      </c>
      <c r="D189" s="18">
        <v>18.13</v>
      </c>
      <c r="E189" s="18">
        <v>50</v>
      </c>
      <c r="F189" s="20" t="s">
        <v>1110</v>
      </c>
      <c r="G189" s="17" t="s">
        <v>51</v>
      </c>
      <c r="H189" s="19" t="s">
        <v>17</v>
      </c>
      <c r="I189" s="18">
        <v>12.086666666666666</v>
      </c>
      <c r="J189" s="17" t="s">
        <v>16</v>
      </c>
      <c r="K189" s="17" t="s">
        <v>15</v>
      </c>
      <c r="L189" s="17"/>
      <c r="M189" s="17"/>
      <c r="N189" s="16" t="str">
        <f>HYPERLINK("http://slimages.macys.com/is/image/MCY/18951804 ")</f>
        <v xml:space="preserve">http://slimages.macys.com/is/image/MCY/18951804 </v>
      </c>
      <c r="O189" s="30"/>
    </row>
    <row r="190" spans="1:15" ht="48" x14ac:dyDescent="0.25">
      <c r="A190" s="19" t="s">
        <v>5038</v>
      </c>
      <c r="B190" s="17" t="s">
        <v>5037</v>
      </c>
      <c r="C190" s="20">
        <v>1</v>
      </c>
      <c r="D190" s="18">
        <v>18.12</v>
      </c>
      <c r="E190" s="18">
        <v>69</v>
      </c>
      <c r="F190" s="20" t="s">
        <v>5036</v>
      </c>
      <c r="G190" s="17" t="s">
        <v>51</v>
      </c>
      <c r="H190" s="19" t="s">
        <v>898</v>
      </c>
      <c r="I190" s="18">
        <v>12.08</v>
      </c>
      <c r="J190" s="17" t="s">
        <v>4609</v>
      </c>
      <c r="K190" s="17" t="s">
        <v>4608</v>
      </c>
      <c r="L190" s="17"/>
      <c r="M190" s="17"/>
      <c r="N190" s="16" t="str">
        <f>HYPERLINK("http://slimages.macys.com/is/image/MCY/18102134 ")</f>
        <v xml:space="preserve">http://slimages.macys.com/is/image/MCY/18102134 </v>
      </c>
      <c r="O190" s="30"/>
    </row>
    <row r="191" spans="1:15" ht="48" x14ac:dyDescent="0.25">
      <c r="A191" s="19" t="s">
        <v>5035</v>
      </c>
      <c r="B191" s="17" t="s">
        <v>5034</v>
      </c>
      <c r="C191" s="20">
        <v>1</v>
      </c>
      <c r="D191" s="18">
        <v>18.02</v>
      </c>
      <c r="E191" s="18">
        <v>66.75</v>
      </c>
      <c r="F191" s="20" t="s">
        <v>2690</v>
      </c>
      <c r="G191" s="17" t="s">
        <v>23</v>
      </c>
      <c r="H191" s="19" t="s">
        <v>1191</v>
      </c>
      <c r="I191" s="18">
        <v>12.013333333333334</v>
      </c>
      <c r="J191" s="17" t="s">
        <v>358</v>
      </c>
      <c r="K191" s="17" t="s">
        <v>32</v>
      </c>
      <c r="L191" s="17"/>
      <c r="M191" s="17"/>
      <c r="N191" s="16" t="str">
        <f>HYPERLINK("http://slimages.macys.com/is/image/MCY/18365789 ")</f>
        <v xml:space="preserve">http://slimages.macys.com/is/image/MCY/18365789 </v>
      </c>
      <c r="O191" s="30"/>
    </row>
    <row r="192" spans="1:15" ht="48" x14ac:dyDescent="0.25">
      <c r="A192" s="19" t="s">
        <v>5033</v>
      </c>
      <c r="B192" s="17" t="s">
        <v>5032</v>
      </c>
      <c r="C192" s="20">
        <v>2</v>
      </c>
      <c r="D192" s="18">
        <v>18</v>
      </c>
      <c r="E192" s="18">
        <v>69</v>
      </c>
      <c r="F192" s="20">
        <v>2321805</v>
      </c>
      <c r="G192" s="17" t="s">
        <v>70</v>
      </c>
      <c r="H192" s="19" t="s">
        <v>101</v>
      </c>
      <c r="I192" s="18">
        <v>12</v>
      </c>
      <c r="J192" s="17" t="s">
        <v>80</v>
      </c>
      <c r="K192" s="17" t="s">
        <v>293</v>
      </c>
      <c r="L192" s="17"/>
      <c r="M192" s="17"/>
      <c r="N192" s="16" t="str">
        <f>HYPERLINK("http://slimages.macys.com/is/image/MCY/18749723 ")</f>
        <v xml:space="preserve">http://slimages.macys.com/is/image/MCY/18749723 </v>
      </c>
      <c r="O192" s="30"/>
    </row>
    <row r="193" spans="1:15" ht="48" x14ac:dyDescent="0.25">
      <c r="A193" s="19" t="s">
        <v>5031</v>
      </c>
      <c r="B193" s="17" t="s">
        <v>5030</v>
      </c>
      <c r="C193" s="20">
        <v>1</v>
      </c>
      <c r="D193" s="18">
        <v>18</v>
      </c>
      <c r="E193" s="18">
        <v>55</v>
      </c>
      <c r="F193" s="20" t="s">
        <v>5029</v>
      </c>
      <c r="G193" s="17" t="s">
        <v>23</v>
      </c>
      <c r="H193" s="19" t="s">
        <v>69</v>
      </c>
      <c r="I193" s="18">
        <v>12</v>
      </c>
      <c r="J193" s="17" t="s">
        <v>80</v>
      </c>
      <c r="K193" s="17" t="s">
        <v>531</v>
      </c>
      <c r="L193" s="17"/>
      <c r="M193" s="17"/>
      <c r="N193" s="16" t="str">
        <f>HYPERLINK("http://slimages.macys.com/is/image/MCY/18578648 ")</f>
        <v xml:space="preserve">http://slimages.macys.com/is/image/MCY/18578648 </v>
      </c>
      <c r="O193" s="30"/>
    </row>
    <row r="194" spans="1:15" ht="48" x14ac:dyDescent="0.25">
      <c r="A194" s="19" t="s">
        <v>5028</v>
      </c>
      <c r="B194" s="17" t="s">
        <v>5027</v>
      </c>
      <c r="C194" s="20">
        <v>1</v>
      </c>
      <c r="D194" s="18">
        <v>18</v>
      </c>
      <c r="E194" s="18">
        <v>69</v>
      </c>
      <c r="F194" s="20">
        <v>2321805</v>
      </c>
      <c r="G194" s="17" t="s">
        <v>70</v>
      </c>
      <c r="H194" s="19" t="s">
        <v>50</v>
      </c>
      <c r="I194" s="18">
        <v>12</v>
      </c>
      <c r="J194" s="17" t="s">
        <v>80</v>
      </c>
      <c r="K194" s="17" t="s">
        <v>293</v>
      </c>
      <c r="L194" s="17"/>
      <c r="M194" s="17"/>
      <c r="N194" s="16" t="str">
        <f>HYPERLINK("http://slimages.macys.com/is/image/MCY/18749723 ")</f>
        <v xml:space="preserve">http://slimages.macys.com/is/image/MCY/18749723 </v>
      </c>
      <c r="O194" s="30"/>
    </row>
    <row r="195" spans="1:15" ht="48" x14ac:dyDescent="0.25">
      <c r="A195" s="19" t="s">
        <v>5026</v>
      </c>
      <c r="B195" s="17" t="s">
        <v>5025</v>
      </c>
      <c r="C195" s="20">
        <v>4</v>
      </c>
      <c r="D195" s="18">
        <v>18</v>
      </c>
      <c r="E195" s="18">
        <v>69</v>
      </c>
      <c r="F195" s="20">
        <v>2321805</v>
      </c>
      <c r="G195" s="17" t="s">
        <v>70</v>
      </c>
      <c r="H195" s="19" t="s">
        <v>17</v>
      </c>
      <c r="I195" s="18">
        <v>12</v>
      </c>
      <c r="J195" s="17" t="s">
        <v>80</v>
      </c>
      <c r="K195" s="17" t="s">
        <v>293</v>
      </c>
      <c r="L195" s="17"/>
      <c r="M195" s="17"/>
      <c r="N195" s="16" t="str">
        <f>HYPERLINK("http://slimages.macys.com/is/image/MCY/18749723 ")</f>
        <v xml:space="preserve">http://slimages.macys.com/is/image/MCY/18749723 </v>
      </c>
      <c r="O195" s="30"/>
    </row>
    <row r="196" spans="1:15" ht="48" x14ac:dyDescent="0.25">
      <c r="A196" s="19" t="s">
        <v>5024</v>
      </c>
      <c r="B196" s="17" t="s">
        <v>5023</v>
      </c>
      <c r="C196" s="20">
        <v>1</v>
      </c>
      <c r="D196" s="18">
        <v>17.8</v>
      </c>
      <c r="E196" s="18">
        <v>89</v>
      </c>
      <c r="F196" s="20">
        <v>9231027</v>
      </c>
      <c r="G196" s="17" t="s">
        <v>58</v>
      </c>
      <c r="H196" s="19" t="s">
        <v>139</v>
      </c>
      <c r="I196" s="18">
        <v>11.866666666666667</v>
      </c>
      <c r="J196" s="17" t="s">
        <v>138</v>
      </c>
      <c r="K196" s="17" t="s">
        <v>137</v>
      </c>
      <c r="L196" s="17"/>
      <c r="M196" s="17"/>
      <c r="N196" s="16" t="str">
        <f>HYPERLINK("http://slimages.macys.com/is/image/MCY/19196122 ")</f>
        <v xml:space="preserve">http://slimages.macys.com/is/image/MCY/19196122 </v>
      </c>
      <c r="O196" s="30"/>
    </row>
    <row r="197" spans="1:15" ht="48" x14ac:dyDescent="0.25">
      <c r="A197" s="19" t="s">
        <v>5022</v>
      </c>
      <c r="B197" s="17" t="s">
        <v>5021</v>
      </c>
      <c r="C197" s="20">
        <v>1</v>
      </c>
      <c r="D197" s="18">
        <v>17.7</v>
      </c>
      <c r="E197" s="18">
        <v>59</v>
      </c>
      <c r="F197" s="20">
        <v>10763054</v>
      </c>
      <c r="G197" s="17" t="s">
        <v>28</v>
      </c>
      <c r="H197" s="19" t="s">
        <v>139</v>
      </c>
      <c r="I197" s="18">
        <v>11.8</v>
      </c>
      <c r="J197" s="17" t="s">
        <v>358</v>
      </c>
      <c r="K197" s="17" t="s">
        <v>554</v>
      </c>
      <c r="L197" s="17"/>
      <c r="M197" s="17"/>
      <c r="N197" s="16" t="str">
        <f>HYPERLINK("http://slimages.macys.com/is/image/MCY/16878391 ")</f>
        <v xml:space="preserve">http://slimages.macys.com/is/image/MCY/16878391 </v>
      </c>
      <c r="O197" s="30"/>
    </row>
    <row r="198" spans="1:15" ht="48" x14ac:dyDescent="0.25">
      <c r="A198" s="19" t="s">
        <v>5020</v>
      </c>
      <c r="B198" s="17" t="s">
        <v>5019</v>
      </c>
      <c r="C198" s="20">
        <v>1</v>
      </c>
      <c r="D198" s="18">
        <v>17.5</v>
      </c>
      <c r="E198" s="18">
        <v>59</v>
      </c>
      <c r="F198" s="20">
        <v>2321065</v>
      </c>
      <c r="G198" s="17" t="s">
        <v>23</v>
      </c>
      <c r="H198" s="19" t="s">
        <v>17</v>
      </c>
      <c r="I198" s="18">
        <v>11.666666666666668</v>
      </c>
      <c r="J198" s="17" t="s">
        <v>80</v>
      </c>
      <c r="K198" s="17" t="s">
        <v>293</v>
      </c>
      <c r="L198" s="17"/>
      <c r="M198" s="17"/>
      <c r="N198" s="16" t="str">
        <f>HYPERLINK("http://slimages.macys.com/is/image/MCY/18962859 ")</f>
        <v xml:space="preserve">http://slimages.macys.com/is/image/MCY/18962859 </v>
      </c>
      <c r="O198" s="30"/>
    </row>
    <row r="199" spans="1:15" ht="48" x14ac:dyDescent="0.25">
      <c r="A199" s="19" t="s">
        <v>5018</v>
      </c>
      <c r="B199" s="17" t="s">
        <v>5017</v>
      </c>
      <c r="C199" s="20">
        <v>1</v>
      </c>
      <c r="D199" s="18">
        <v>17.38</v>
      </c>
      <c r="E199" s="18">
        <v>69.5</v>
      </c>
      <c r="F199" s="20">
        <v>30155716</v>
      </c>
      <c r="G199" s="17" t="s">
        <v>282</v>
      </c>
      <c r="H199" s="19" t="s">
        <v>698</v>
      </c>
      <c r="I199" s="18">
        <v>11.586666666666668</v>
      </c>
      <c r="J199" s="17" t="s">
        <v>481</v>
      </c>
      <c r="K199" s="17" t="s">
        <v>480</v>
      </c>
      <c r="L199" s="17"/>
      <c r="M199" s="17"/>
      <c r="N199" s="16" t="str">
        <f>HYPERLINK("http://slimages.macys.com/is/image/MCY/21169561 ")</f>
        <v xml:space="preserve">http://slimages.macys.com/is/image/MCY/21169561 </v>
      </c>
      <c r="O199" s="30"/>
    </row>
    <row r="200" spans="1:15" ht="48" x14ac:dyDescent="0.25">
      <c r="A200" s="19" t="s">
        <v>5016</v>
      </c>
      <c r="B200" s="17" t="s">
        <v>5015</v>
      </c>
      <c r="C200" s="20">
        <v>1</v>
      </c>
      <c r="D200" s="18">
        <v>17.28</v>
      </c>
      <c r="E200" s="18">
        <v>69</v>
      </c>
      <c r="F200" s="20" t="s">
        <v>5014</v>
      </c>
      <c r="G200" s="17" t="s">
        <v>380</v>
      </c>
      <c r="H200" s="19"/>
      <c r="I200" s="18">
        <v>11.52</v>
      </c>
      <c r="J200" s="17" t="s">
        <v>550</v>
      </c>
      <c r="K200" s="17" t="s">
        <v>1262</v>
      </c>
      <c r="L200" s="17"/>
      <c r="M200" s="17"/>
      <c r="N200" s="16" t="str">
        <f>HYPERLINK("http://slimages.macys.com/is/image/MCY/17947098 ")</f>
        <v xml:space="preserve">http://slimages.macys.com/is/image/MCY/17947098 </v>
      </c>
      <c r="O200" s="30"/>
    </row>
    <row r="201" spans="1:15" ht="48" x14ac:dyDescent="0.25">
      <c r="A201" s="19" t="s">
        <v>5013</v>
      </c>
      <c r="B201" s="17" t="s">
        <v>5012</v>
      </c>
      <c r="C201" s="20">
        <v>1</v>
      </c>
      <c r="D201" s="18">
        <v>17.25</v>
      </c>
      <c r="E201" s="18">
        <v>69</v>
      </c>
      <c r="F201" s="20" t="s">
        <v>5011</v>
      </c>
      <c r="G201" s="17" t="s">
        <v>508</v>
      </c>
      <c r="H201" s="19" t="s">
        <v>17</v>
      </c>
      <c r="I201" s="18">
        <v>11.500000000000002</v>
      </c>
      <c r="J201" s="17" t="s">
        <v>129</v>
      </c>
      <c r="K201" s="17" t="s">
        <v>128</v>
      </c>
      <c r="L201" s="17"/>
      <c r="M201" s="17"/>
      <c r="N201" s="16" t="str">
        <f>HYPERLINK("http://slimages.macys.com/is/image/MCY/18914753 ")</f>
        <v xml:space="preserve">http://slimages.macys.com/is/image/MCY/18914753 </v>
      </c>
      <c r="O201" s="30"/>
    </row>
    <row r="202" spans="1:15" ht="48" x14ac:dyDescent="0.25">
      <c r="A202" s="19" t="s">
        <v>5010</v>
      </c>
      <c r="B202" s="17" t="s">
        <v>5009</v>
      </c>
      <c r="C202" s="20">
        <v>1</v>
      </c>
      <c r="D202" s="18">
        <v>17.25</v>
      </c>
      <c r="E202" s="18">
        <v>69</v>
      </c>
      <c r="F202" s="20">
        <v>7031631</v>
      </c>
      <c r="G202" s="17" t="s">
        <v>23</v>
      </c>
      <c r="H202" s="19" t="s">
        <v>62</v>
      </c>
      <c r="I202" s="18">
        <v>11.500000000000002</v>
      </c>
      <c r="J202" s="17" t="s">
        <v>111</v>
      </c>
      <c r="K202" s="17" t="s">
        <v>110</v>
      </c>
      <c r="L202" s="17"/>
      <c r="M202" s="17"/>
      <c r="N202" s="16" t="str">
        <f>HYPERLINK("http://slimages.macys.com/is/image/MCY/19390827 ")</f>
        <v xml:space="preserve">http://slimages.macys.com/is/image/MCY/19390827 </v>
      </c>
      <c r="O202" s="30"/>
    </row>
    <row r="203" spans="1:15" ht="72" x14ac:dyDescent="0.25">
      <c r="A203" s="19" t="s">
        <v>5008</v>
      </c>
      <c r="B203" s="17" t="s">
        <v>5007</v>
      </c>
      <c r="C203" s="20">
        <v>1</v>
      </c>
      <c r="D203" s="18">
        <v>17.25</v>
      </c>
      <c r="E203" s="18">
        <v>69</v>
      </c>
      <c r="F203" s="20">
        <v>10687266</v>
      </c>
      <c r="G203" s="17" t="s">
        <v>51</v>
      </c>
      <c r="H203" s="19" t="s">
        <v>682</v>
      </c>
      <c r="I203" s="18">
        <v>11.500000000000002</v>
      </c>
      <c r="J203" s="17" t="s">
        <v>144</v>
      </c>
      <c r="K203" s="17" t="s">
        <v>1211</v>
      </c>
      <c r="L203" s="17" t="s">
        <v>389</v>
      </c>
      <c r="M203" s="17" t="s">
        <v>1322</v>
      </c>
      <c r="N203" s="16" t="str">
        <f>HYPERLINK("http://slimages.macys.com/is/image/MCY/9682015 ")</f>
        <v xml:space="preserve">http://slimages.macys.com/is/image/MCY/9682015 </v>
      </c>
      <c r="O203" s="30"/>
    </row>
    <row r="204" spans="1:15" ht="48" x14ac:dyDescent="0.25">
      <c r="A204" s="19" t="s">
        <v>5006</v>
      </c>
      <c r="B204" s="17" t="s">
        <v>5005</v>
      </c>
      <c r="C204" s="20">
        <v>1</v>
      </c>
      <c r="D204" s="18">
        <v>17</v>
      </c>
      <c r="E204" s="18">
        <v>60</v>
      </c>
      <c r="F204" s="20" t="s">
        <v>1863</v>
      </c>
      <c r="G204" s="17"/>
      <c r="H204" s="19" t="s">
        <v>3106</v>
      </c>
      <c r="I204" s="18">
        <v>11.333333333333334</v>
      </c>
      <c r="J204" s="17" t="s">
        <v>80</v>
      </c>
      <c r="K204" s="17" t="s">
        <v>187</v>
      </c>
      <c r="L204" s="17"/>
      <c r="M204" s="17"/>
      <c r="N204" s="16" t="str">
        <f>HYPERLINK("http://slimages.macys.com/is/image/MCY/19108974 ")</f>
        <v xml:space="preserve">http://slimages.macys.com/is/image/MCY/19108974 </v>
      </c>
      <c r="O204" s="30"/>
    </row>
    <row r="205" spans="1:15" ht="48" x14ac:dyDescent="0.25">
      <c r="A205" s="19" t="s">
        <v>1088</v>
      </c>
      <c r="B205" s="17" t="s">
        <v>1087</v>
      </c>
      <c r="C205" s="20">
        <v>3</v>
      </c>
      <c r="D205" s="18">
        <v>16.809999999999999</v>
      </c>
      <c r="E205" s="18">
        <v>59.5</v>
      </c>
      <c r="F205" s="20" t="s">
        <v>1086</v>
      </c>
      <c r="G205" s="17" t="s">
        <v>51</v>
      </c>
      <c r="H205" s="19" t="s">
        <v>57</v>
      </c>
      <c r="I205" s="18">
        <v>11.206666666666667</v>
      </c>
      <c r="J205" s="17" t="s">
        <v>56</v>
      </c>
      <c r="K205" s="17" t="s">
        <v>55</v>
      </c>
      <c r="L205" s="17"/>
      <c r="M205" s="17"/>
      <c r="N205" s="16" t="str">
        <f>HYPERLINK("http://slimages.macys.com/is/image/MCY/19182892 ")</f>
        <v xml:space="preserve">http://slimages.macys.com/is/image/MCY/19182892 </v>
      </c>
      <c r="O205" s="30"/>
    </row>
    <row r="206" spans="1:15" ht="48" x14ac:dyDescent="0.25">
      <c r="A206" s="19" t="s">
        <v>3509</v>
      </c>
      <c r="B206" s="17" t="s">
        <v>3508</v>
      </c>
      <c r="C206" s="20">
        <v>1</v>
      </c>
      <c r="D206" s="18">
        <v>16.809999999999999</v>
      </c>
      <c r="E206" s="18">
        <v>59.5</v>
      </c>
      <c r="F206" s="20" t="s">
        <v>374</v>
      </c>
      <c r="G206" s="17" t="s">
        <v>206</v>
      </c>
      <c r="H206" s="19" t="s">
        <v>57</v>
      </c>
      <c r="I206" s="18">
        <v>11.206666666666667</v>
      </c>
      <c r="J206" s="17" t="s">
        <v>56</v>
      </c>
      <c r="K206" s="17" t="s">
        <v>55</v>
      </c>
      <c r="L206" s="17"/>
      <c r="M206" s="17"/>
      <c r="N206" s="16" t="str">
        <f>HYPERLINK("http://slimages.macys.com/is/image/MCY/19367312 ")</f>
        <v xml:space="preserve">http://slimages.macys.com/is/image/MCY/19367312 </v>
      </c>
      <c r="O206" s="30"/>
    </row>
    <row r="207" spans="1:15" ht="48" x14ac:dyDescent="0.25">
      <c r="A207" s="19" t="s">
        <v>5004</v>
      </c>
      <c r="B207" s="17" t="s">
        <v>5003</v>
      </c>
      <c r="C207" s="20">
        <v>1</v>
      </c>
      <c r="D207" s="18">
        <v>16.809999999999999</v>
      </c>
      <c r="E207" s="18">
        <v>59.5</v>
      </c>
      <c r="F207" s="20" t="s">
        <v>5002</v>
      </c>
      <c r="G207" s="17" t="s">
        <v>58</v>
      </c>
      <c r="H207" s="19" t="s">
        <v>898</v>
      </c>
      <c r="I207" s="18">
        <v>11.206666666666667</v>
      </c>
      <c r="J207" s="17" t="s">
        <v>68</v>
      </c>
      <c r="K207" s="17" t="s">
        <v>67</v>
      </c>
      <c r="L207" s="17" t="s">
        <v>389</v>
      </c>
      <c r="M207" s="17" t="s">
        <v>1804</v>
      </c>
      <c r="N207" s="16" t="str">
        <f>HYPERLINK("http://slimages.macys.com/is/image/MCY/8286541 ")</f>
        <v xml:space="preserve">http://slimages.macys.com/is/image/MCY/8286541 </v>
      </c>
      <c r="O207" s="30"/>
    </row>
    <row r="208" spans="1:15" ht="48" x14ac:dyDescent="0.25">
      <c r="A208" s="19" t="s">
        <v>1861</v>
      </c>
      <c r="B208" s="17" t="s">
        <v>1860</v>
      </c>
      <c r="C208" s="20">
        <v>1</v>
      </c>
      <c r="D208" s="18">
        <v>16.809999999999999</v>
      </c>
      <c r="E208" s="18">
        <v>59.5</v>
      </c>
      <c r="F208" s="20" t="s">
        <v>1086</v>
      </c>
      <c r="G208" s="17" t="s">
        <v>51</v>
      </c>
      <c r="H208" s="19" t="s">
        <v>197</v>
      </c>
      <c r="I208" s="18">
        <v>11.206666666666667</v>
      </c>
      <c r="J208" s="17" t="s">
        <v>56</v>
      </c>
      <c r="K208" s="17" t="s">
        <v>55</v>
      </c>
      <c r="L208" s="17"/>
      <c r="M208" s="17"/>
      <c r="N208" s="16" t="str">
        <f>HYPERLINK("http://slimages.macys.com/is/image/MCY/19182892 ")</f>
        <v xml:space="preserve">http://slimages.macys.com/is/image/MCY/19182892 </v>
      </c>
      <c r="O208" s="30"/>
    </row>
    <row r="209" spans="1:15" ht="48" x14ac:dyDescent="0.25">
      <c r="A209" s="19" t="s">
        <v>5001</v>
      </c>
      <c r="B209" s="17" t="s">
        <v>5000</v>
      </c>
      <c r="C209" s="20">
        <v>1</v>
      </c>
      <c r="D209" s="18">
        <v>16.809999999999999</v>
      </c>
      <c r="E209" s="18">
        <v>59.5</v>
      </c>
      <c r="F209" s="20" t="s">
        <v>2659</v>
      </c>
      <c r="G209" s="17" t="s">
        <v>508</v>
      </c>
      <c r="H209" s="19" t="s">
        <v>57</v>
      </c>
      <c r="I209" s="18">
        <v>11.206666666666667</v>
      </c>
      <c r="J209" s="17" t="s">
        <v>56</v>
      </c>
      <c r="K209" s="17" t="s">
        <v>55</v>
      </c>
      <c r="L209" s="17"/>
      <c r="M209" s="17"/>
      <c r="N209" s="16" t="str">
        <f>HYPERLINK("http://slimages.macys.com/is/image/MCY/19367507 ")</f>
        <v xml:space="preserve">http://slimages.macys.com/is/image/MCY/19367507 </v>
      </c>
      <c r="O209" s="30"/>
    </row>
    <row r="210" spans="1:15" ht="48" x14ac:dyDescent="0.25">
      <c r="A210" s="19" t="s">
        <v>1854</v>
      </c>
      <c r="B210" s="17" t="s">
        <v>1853</v>
      </c>
      <c r="C210" s="20">
        <v>2</v>
      </c>
      <c r="D210" s="18">
        <v>16.809999999999999</v>
      </c>
      <c r="E210" s="18">
        <v>59.5</v>
      </c>
      <c r="F210" s="20" t="s">
        <v>1086</v>
      </c>
      <c r="G210" s="17" t="s">
        <v>51</v>
      </c>
      <c r="H210" s="19" t="s">
        <v>74</v>
      </c>
      <c r="I210" s="18">
        <v>11.206666666666667</v>
      </c>
      <c r="J210" s="17" t="s">
        <v>56</v>
      </c>
      <c r="K210" s="17" t="s">
        <v>55</v>
      </c>
      <c r="L210" s="17"/>
      <c r="M210" s="17"/>
      <c r="N210" s="16" t="str">
        <f>HYPERLINK("http://slimages.macys.com/is/image/MCY/19182892 ")</f>
        <v xml:space="preserve">http://slimages.macys.com/is/image/MCY/19182892 </v>
      </c>
      <c r="O210" s="30"/>
    </row>
    <row r="211" spans="1:15" ht="48" x14ac:dyDescent="0.25">
      <c r="A211" s="19" t="s">
        <v>4999</v>
      </c>
      <c r="B211" s="17" t="s">
        <v>4998</v>
      </c>
      <c r="C211" s="20">
        <v>2</v>
      </c>
      <c r="D211" s="18">
        <v>16.809999999999999</v>
      </c>
      <c r="E211" s="18">
        <v>59.5</v>
      </c>
      <c r="F211" s="20" t="s">
        <v>1080</v>
      </c>
      <c r="G211" s="17" t="s">
        <v>206</v>
      </c>
      <c r="H211" s="19" t="s">
        <v>74</v>
      </c>
      <c r="I211" s="18">
        <v>11.206666666666667</v>
      </c>
      <c r="J211" s="17" t="s">
        <v>56</v>
      </c>
      <c r="K211" s="17" t="s">
        <v>55</v>
      </c>
      <c r="L211" s="17"/>
      <c r="M211" s="17"/>
      <c r="N211" s="16" t="str">
        <f>HYPERLINK("http://slimages.macys.com/is/image/MCY/19394905 ")</f>
        <v xml:space="preserve">http://slimages.macys.com/is/image/MCY/19394905 </v>
      </c>
      <c r="O211" s="30"/>
    </row>
    <row r="212" spans="1:15" ht="48" x14ac:dyDescent="0.25">
      <c r="A212" s="19" t="s">
        <v>3507</v>
      </c>
      <c r="B212" s="17" t="s">
        <v>3506</v>
      </c>
      <c r="C212" s="20">
        <v>1</v>
      </c>
      <c r="D212" s="18">
        <v>16.809999999999999</v>
      </c>
      <c r="E212" s="18">
        <v>59.5</v>
      </c>
      <c r="F212" s="20" t="s">
        <v>374</v>
      </c>
      <c r="G212" s="17" t="s">
        <v>206</v>
      </c>
      <c r="H212" s="19" t="s">
        <v>74</v>
      </c>
      <c r="I212" s="18">
        <v>11.206666666666667</v>
      </c>
      <c r="J212" s="17" t="s">
        <v>56</v>
      </c>
      <c r="K212" s="17" t="s">
        <v>55</v>
      </c>
      <c r="L212" s="17"/>
      <c r="M212" s="17"/>
      <c r="N212" s="16" t="str">
        <f>HYPERLINK("http://slimages.macys.com/is/image/MCY/19367312 ")</f>
        <v xml:space="preserve">http://slimages.macys.com/is/image/MCY/19367312 </v>
      </c>
      <c r="O212" s="30"/>
    </row>
    <row r="213" spans="1:15" ht="48" x14ac:dyDescent="0.25">
      <c r="A213" s="19" t="s">
        <v>4997</v>
      </c>
      <c r="B213" s="17" t="s">
        <v>4996</v>
      </c>
      <c r="C213" s="20">
        <v>2</v>
      </c>
      <c r="D213" s="18">
        <v>16.8</v>
      </c>
      <c r="E213" s="18">
        <v>59.5</v>
      </c>
      <c r="F213" s="20" t="s">
        <v>4995</v>
      </c>
      <c r="G213" s="17" t="s">
        <v>63</v>
      </c>
      <c r="H213" s="19" t="s">
        <v>74</v>
      </c>
      <c r="I213" s="18">
        <v>11.2</v>
      </c>
      <c r="J213" s="17" t="s">
        <v>56</v>
      </c>
      <c r="K213" s="17" t="s">
        <v>55</v>
      </c>
      <c r="L213" s="17"/>
      <c r="M213" s="17"/>
      <c r="N213" s="16" t="str">
        <f>HYPERLINK("http://slimages.macys.com/is/image/MCY/18364135 ")</f>
        <v xml:space="preserve">http://slimages.macys.com/is/image/MCY/18364135 </v>
      </c>
      <c r="O213" s="30"/>
    </row>
    <row r="214" spans="1:15" ht="48" x14ac:dyDescent="0.25">
      <c r="A214" s="19" t="s">
        <v>3486</v>
      </c>
      <c r="B214" s="17" t="s">
        <v>3485</v>
      </c>
      <c r="C214" s="20">
        <v>1</v>
      </c>
      <c r="D214" s="18">
        <v>16.8</v>
      </c>
      <c r="E214" s="18">
        <v>59.5</v>
      </c>
      <c r="F214" s="20" t="s">
        <v>3484</v>
      </c>
      <c r="G214" s="17" t="s">
        <v>206</v>
      </c>
      <c r="H214" s="19" t="s">
        <v>139</v>
      </c>
      <c r="I214" s="18">
        <v>11.2</v>
      </c>
      <c r="J214" s="17" t="s">
        <v>1891</v>
      </c>
      <c r="K214" s="17" t="s">
        <v>67</v>
      </c>
      <c r="L214" s="17"/>
      <c r="M214" s="17"/>
      <c r="N214" s="16" t="str">
        <f>HYPERLINK("http://slimages.macys.com/is/image/MCY/18982298 ")</f>
        <v xml:space="preserve">http://slimages.macys.com/is/image/MCY/18982298 </v>
      </c>
      <c r="O214" s="30"/>
    </row>
    <row r="215" spans="1:15" ht="48" x14ac:dyDescent="0.25">
      <c r="A215" s="19" t="s">
        <v>4994</v>
      </c>
      <c r="B215" s="17" t="s">
        <v>4993</v>
      </c>
      <c r="C215" s="20">
        <v>1</v>
      </c>
      <c r="D215" s="18">
        <v>16.55</v>
      </c>
      <c r="E215" s="18">
        <v>59</v>
      </c>
      <c r="F215" s="20" t="s">
        <v>4992</v>
      </c>
      <c r="G215" s="17" t="s">
        <v>206</v>
      </c>
      <c r="H215" s="19" t="s">
        <v>74</v>
      </c>
      <c r="I215" s="18">
        <v>11.033333333333333</v>
      </c>
      <c r="J215" s="17" t="s">
        <v>820</v>
      </c>
      <c r="K215" s="17" t="s">
        <v>67</v>
      </c>
      <c r="L215" s="17"/>
      <c r="M215" s="17"/>
      <c r="N215" s="16" t="str">
        <f>HYPERLINK("http://slimages.macys.com/is/image/MCY/18689449 ")</f>
        <v xml:space="preserve">http://slimages.macys.com/is/image/MCY/18689449 </v>
      </c>
      <c r="O215" s="30"/>
    </row>
    <row r="216" spans="1:15" ht="48" x14ac:dyDescent="0.25">
      <c r="A216" s="19" t="s">
        <v>4991</v>
      </c>
      <c r="B216" s="17" t="s">
        <v>4990</v>
      </c>
      <c r="C216" s="20">
        <v>1</v>
      </c>
      <c r="D216" s="18">
        <v>16.52</v>
      </c>
      <c r="E216" s="18">
        <v>59</v>
      </c>
      <c r="F216" s="20" t="s">
        <v>4989</v>
      </c>
      <c r="G216" s="17" t="s">
        <v>23</v>
      </c>
      <c r="H216" s="19" t="s">
        <v>57</v>
      </c>
      <c r="I216" s="18">
        <v>11.013333333333334</v>
      </c>
      <c r="J216" s="17" t="s">
        <v>820</v>
      </c>
      <c r="K216" s="17" t="s">
        <v>67</v>
      </c>
      <c r="L216" s="17"/>
      <c r="M216" s="17"/>
      <c r="N216" s="16" t="str">
        <f>HYPERLINK("http://slimages.macys.com/is/image/MCY/19908420 ")</f>
        <v xml:space="preserve">http://slimages.macys.com/is/image/MCY/19908420 </v>
      </c>
      <c r="O216" s="30"/>
    </row>
    <row r="217" spans="1:15" ht="48" x14ac:dyDescent="0.25">
      <c r="A217" s="19" t="s">
        <v>4988</v>
      </c>
      <c r="B217" s="17" t="s">
        <v>4987</v>
      </c>
      <c r="C217" s="20">
        <v>1</v>
      </c>
      <c r="D217" s="18">
        <v>16.34</v>
      </c>
      <c r="E217" s="18">
        <v>59</v>
      </c>
      <c r="F217" s="20" t="s">
        <v>3466</v>
      </c>
      <c r="G217" s="17" t="s">
        <v>23</v>
      </c>
      <c r="H217" s="19" t="s">
        <v>62</v>
      </c>
      <c r="I217" s="18">
        <v>10.893333333333333</v>
      </c>
      <c r="J217" s="17" t="s">
        <v>405</v>
      </c>
      <c r="K217" s="17" t="s">
        <v>404</v>
      </c>
      <c r="L217" s="17"/>
      <c r="M217" s="17"/>
      <c r="N217" s="16" t="str">
        <f>HYPERLINK("http://slimages.macys.com/is/image/MCY/19411385 ")</f>
        <v xml:space="preserve">http://slimages.macys.com/is/image/MCY/19411385 </v>
      </c>
      <c r="O217" s="30"/>
    </row>
    <row r="218" spans="1:15" ht="48" x14ac:dyDescent="0.25">
      <c r="A218" s="19" t="s">
        <v>4986</v>
      </c>
      <c r="B218" s="17" t="s">
        <v>4985</v>
      </c>
      <c r="C218" s="20">
        <v>1</v>
      </c>
      <c r="D218" s="18">
        <v>16.22</v>
      </c>
      <c r="E218" s="18">
        <v>49</v>
      </c>
      <c r="F218" s="20" t="s">
        <v>4984</v>
      </c>
      <c r="G218" s="17" t="s">
        <v>562</v>
      </c>
      <c r="H218" s="19" t="s">
        <v>50</v>
      </c>
      <c r="I218" s="18">
        <v>10.813333333333334</v>
      </c>
      <c r="J218" s="17" t="s">
        <v>49</v>
      </c>
      <c r="K218" s="17" t="s">
        <v>48</v>
      </c>
      <c r="L218" s="17"/>
      <c r="M218" s="17"/>
      <c r="N218" s="16" t="str">
        <f>HYPERLINK("http://slimages.macys.com/is/image/MCY/19411546 ")</f>
        <v xml:space="preserve">http://slimages.macys.com/is/image/MCY/19411546 </v>
      </c>
      <c r="O218" s="30"/>
    </row>
    <row r="219" spans="1:15" ht="48" x14ac:dyDescent="0.25">
      <c r="A219" s="19" t="s">
        <v>4983</v>
      </c>
      <c r="B219" s="17" t="s">
        <v>4982</v>
      </c>
      <c r="C219" s="20">
        <v>1</v>
      </c>
      <c r="D219" s="18">
        <v>16.22</v>
      </c>
      <c r="E219" s="18">
        <v>49</v>
      </c>
      <c r="F219" s="20" t="s">
        <v>52</v>
      </c>
      <c r="G219" s="17" t="s">
        <v>140</v>
      </c>
      <c r="H219" s="19" t="s">
        <v>50</v>
      </c>
      <c r="I219" s="18">
        <v>10.813333333333334</v>
      </c>
      <c r="J219" s="17" t="s">
        <v>49</v>
      </c>
      <c r="K219" s="17" t="s">
        <v>48</v>
      </c>
      <c r="L219" s="17"/>
      <c r="M219" s="17"/>
      <c r="N219" s="16" t="str">
        <f>HYPERLINK("http://slimages.macys.com/is/image/MCY/19193563 ")</f>
        <v xml:space="preserve">http://slimages.macys.com/is/image/MCY/19193563 </v>
      </c>
      <c r="O219" s="30"/>
    </row>
    <row r="220" spans="1:15" ht="60" x14ac:dyDescent="0.25">
      <c r="A220" s="19" t="s">
        <v>4981</v>
      </c>
      <c r="B220" s="17" t="s">
        <v>4980</v>
      </c>
      <c r="C220" s="20">
        <v>1</v>
      </c>
      <c r="D220" s="18">
        <v>15.68</v>
      </c>
      <c r="E220" s="18">
        <v>56</v>
      </c>
      <c r="F220" s="20" t="s">
        <v>4979</v>
      </c>
      <c r="G220" s="17" t="s">
        <v>23</v>
      </c>
      <c r="H220" s="19" t="s">
        <v>74</v>
      </c>
      <c r="I220" s="18">
        <v>10.453333333333335</v>
      </c>
      <c r="J220" s="17" t="s">
        <v>80</v>
      </c>
      <c r="K220" s="17" t="s">
        <v>183</v>
      </c>
      <c r="L220" s="17"/>
      <c r="M220" s="17"/>
      <c r="N220" s="16" t="str">
        <f>HYPERLINK("http://slimages.macys.com/is/image/MCY/19305635 ")</f>
        <v xml:space="preserve">http://slimages.macys.com/is/image/MCY/19305635 </v>
      </c>
      <c r="O220" s="30"/>
    </row>
    <row r="221" spans="1:15" ht="48" x14ac:dyDescent="0.25">
      <c r="A221" s="19" t="s">
        <v>4978</v>
      </c>
      <c r="B221" s="17" t="s">
        <v>4977</v>
      </c>
      <c r="C221" s="20">
        <v>1</v>
      </c>
      <c r="D221" s="18">
        <v>15.4</v>
      </c>
      <c r="E221" s="18">
        <v>54.5</v>
      </c>
      <c r="F221" s="20" t="s">
        <v>4976</v>
      </c>
      <c r="G221" s="17" t="s">
        <v>58</v>
      </c>
      <c r="H221" s="19" t="s">
        <v>139</v>
      </c>
      <c r="I221" s="18">
        <v>10.266666666666667</v>
      </c>
      <c r="J221" s="17" t="s">
        <v>1891</v>
      </c>
      <c r="K221" s="17" t="s">
        <v>67</v>
      </c>
      <c r="L221" s="17"/>
      <c r="M221" s="17"/>
      <c r="N221" s="16" t="str">
        <f>HYPERLINK("http://slimages.macys.com/is/image/MCY/18980894 ")</f>
        <v xml:space="preserve">http://slimages.macys.com/is/image/MCY/18980894 </v>
      </c>
      <c r="O221" s="30"/>
    </row>
    <row r="222" spans="1:15" ht="48" x14ac:dyDescent="0.25">
      <c r="A222" s="19" t="s">
        <v>4975</v>
      </c>
      <c r="B222" s="17" t="s">
        <v>4974</v>
      </c>
      <c r="C222" s="20">
        <v>1</v>
      </c>
      <c r="D222" s="18">
        <v>15.4</v>
      </c>
      <c r="E222" s="18">
        <v>54.5</v>
      </c>
      <c r="F222" s="20" t="s">
        <v>1832</v>
      </c>
      <c r="G222" s="17" t="s">
        <v>91</v>
      </c>
      <c r="H222" s="19" t="s">
        <v>96</v>
      </c>
      <c r="I222" s="18">
        <v>10.266666666666667</v>
      </c>
      <c r="J222" s="17" t="s">
        <v>68</v>
      </c>
      <c r="K222" s="17" t="s">
        <v>67</v>
      </c>
      <c r="L222" s="17" t="s">
        <v>389</v>
      </c>
      <c r="M222" s="17" t="s">
        <v>1804</v>
      </c>
      <c r="N222" s="16" t="str">
        <f>HYPERLINK("http://slimages.macys.com/is/image/MCY/1929248 ")</f>
        <v xml:space="preserve">http://slimages.macys.com/is/image/MCY/1929248 </v>
      </c>
      <c r="O222" s="30"/>
    </row>
    <row r="223" spans="1:15" ht="48" x14ac:dyDescent="0.25">
      <c r="A223" s="19" t="s">
        <v>4973</v>
      </c>
      <c r="B223" s="17" t="s">
        <v>4972</v>
      </c>
      <c r="C223" s="20">
        <v>1</v>
      </c>
      <c r="D223" s="18">
        <v>15.19</v>
      </c>
      <c r="E223" s="18">
        <v>49</v>
      </c>
      <c r="F223" s="20">
        <v>10770288</v>
      </c>
      <c r="G223" s="17" t="s">
        <v>28</v>
      </c>
      <c r="H223" s="19" t="s">
        <v>197</v>
      </c>
      <c r="I223" s="18">
        <v>10.126666666666667</v>
      </c>
      <c r="J223" s="17" t="s">
        <v>144</v>
      </c>
      <c r="K223" s="17" t="s">
        <v>143</v>
      </c>
      <c r="L223" s="17"/>
      <c r="M223" s="17"/>
      <c r="N223" s="16" t="str">
        <f>HYPERLINK("http://slimages.macys.com/is/image/MCY/19095693 ")</f>
        <v xml:space="preserve">http://slimages.macys.com/is/image/MCY/19095693 </v>
      </c>
      <c r="O223" s="30"/>
    </row>
    <row r="224" spans="1:15" ht="48" x14ac:dyDescent="0.25">
      <c r="A224" s="19" t="s">
        <v>4971</v>
      </c>
      <c r="B224" s="17" t="s">
        <v>4970</v>
      </c>
      <c r="C224" s="20">
        <v>1</v>
      </c>
      <c r="D224" s="18">
        <v>14.75</v>
      </c>
      <c r="E224" s="18">
        <v>59</v>
      </c>
      <c r="F224" s="20">
        <v>7031630</v>
      </c>
      <c r="G224" s="17" t="s">
        <v>23</v>
      </c>
      <c r="H224" s="19" t="s">
        <v>17</v>
      </c>
      <c r="I224" s="18">
        <v>9.8333333333333339</v>
      </c>
      <c r="J224" s="17" t="s">
        <v>111</v>
      </c>
      <c r="K224" s="17" t="s">
        <v>110</v>
      </c>
      <c r="L224" s="17"/>
      <c r="M224" s="17"/>
      <c r="N224" s="16" t="str">
        <f>HYPERLINK("http://slimages.macys.com/is/image/MCY/19390798 ")</f>
        <v xml:space="preserve">http://slimages.macys.com/is/image/MCY/19390798 </v>
      </c>
      <c r="O224" s="30"/>
    </row>
    <row r="225" spans="1:15" ht="48" x14ac:dyDescent="0.25">
      <c r="A225" s="19" t="s">
        <v>4969</v>
      </c>
      <c r="B225" s="17" t="s">
        <v>4968</v>
      </c>
      <c r="C225" s="20">
        <v>1</v>
      </c>
      <c r="D225" s="18">
        <v>14.65</v>
      </c>
      <c r="E225" s="18">
        <v>50</v>
      </c>
      <c r="F225" s="20" t="s">
        <v>4965</v>
      </c>
      <c r="G225" s="17" t="s">
        <v>164</v>
      </c>
      <c r="H225" s="19" t="s">
        <v>22</v>
      </c>
      <c r="I225" s="18">
        <v>9.7666666666666675</v>
      </c>
      <c r="J225" s="17" t="s">
        <v>16</v>
      </c>
      <c r="K225" s="17" t="s">
        <v>15</v>
      </c>
      <c r="L225" s="17"/>
      <c r="M225" s="17"/>
      <c r="N225" s="16" t="str">
        <f>HYPERLINK("http://slimages.macys.com/is/image/MCY/19147410 ")</f>
        <v xml:space="preserve">http://slimages.macys.com/is/image/MCY/19147410 </v>
      </c>
      <c r="O225" s="30"/>
    </row>
    <row r="226" spans="1:15" ht="48" x14ac:dyDescent="0.25">
      <c r="A226" s="19" t="s">
        <v>4967</v>
      </c>
      <c r="B226" s="17" t="s">
        <v>4966</v>
      </c>
      <c r="C226" s="20">
        <v>2</v>
      </c>
      <c r="D226" s="18">
        <v>14.65</v>
      </c>
      <c r="E226" s="18">
        <v>50</v>
      </c>
      <c r="F226" s="20" t="s">
        <v>4965</v>
      </c>
      <c r="G226" s="17" t="s">
        <v>164</v>
      </c>
      <c r="H226" s="19" t="s">
        <v>17</v>
      </c>
      <c r="I226" s="18">
        <v>9.7666666666666675</v>
      </c>
      <c r="J226" s="17" t="s">
        <v>16</v>
      </c>
      <c r="K226" s="17" t="s">
        <v>15</v>
      </c>
      <c r="L226" s="17"/>
      <c r="M226" s="17"/>
      <c r="N226" s="16" t="str">
        <f>HYPERLINK("http://slimages.macys.com/is/image/MCY/19147410 ")</f>
        <v xml:space="preserve">http://slimages.macys.com/is/image/MCY/19147410 </v>
      </c>
      <c r="O226" s="30"/>
    </row>
    <row r="227" spans="1:15" ht="48" x14ac:dyDescent="0.25">
      <c r="A227" s="19" t="s">
        <v>4964</v>
      </c>
      <c r="B227" s="17" t="s">
        <v>4963</v>
      </c>
      <c r="C227" s="20">
        <v>1</v>
      </c>
      <c r="D227" s="18">
        <v>14.5</v>
      </c>
      <c r="E227" s="18">
        <v>59</v>
      </c>
      <c r="F227" s="20" t="s">
        <v>4962</v>
      </c>
      <c r="G227" s="17" t="s">
        <v>51</v>
      </c>
      <c r="H227" s="19" t="s">
        <v>139</v>
      </c>
      <c r="I227" s="18">
        <v>9.6666666666666661</v>
      </c>
      <c r="J227" s="17" t="s">
        <v>550</v>
      </c>
      <c r="K227" s="17" t="s">
        <v>4961</v>
      </c>
      <c r="L227" s="17" t="s">
        <v>389</v>
      </c>
      <c r="M227" s="17" t="s">
        <v>388</v>
      </c>
      <c r="N227" s="16" t="str">
        <f>HYPERLINK("http://slimages.macys.com/is/image/MCY/17976254 ")</f>
        <v xml:space="preserve">http://slimages.macys.com/is/image/MCY/17976254 </v>
      </c>
      <c r="O227" s="30"/>
    </row>
    <row r="228" spans="1:15" ht="48" x14ac:dyDescent="0.25">
      <c r="A228" s="19" t="s">
        <v>4960</v>
      </c>
      <c r="B228" s="17" t="s">
        <v>4959</v>
      </c>
      <c r="C228" s="20">
        <v>1</v>
      </c>
      <c r="D228" s="18">
        <v>14.15</v>
      </c>
      <c r="E228" s="18">
        <v>49.5</v>
      </c>
      <c r="F228" s="20" t="s">
        <v>4958</v>
      </c>
      <c r="G228" s="17" t="s">
        <v>23</v>
      </c>
      <c r="H228" s="19" t="s">
        <v>658</v>
      </c>
      <c r="I228" s="18">
        <v>9.4333333333333336</v>
      </c>
      <c r="J228" s="17" t="s">
        <v>68</v>
      </c>
      <c r="K228" s="17" t="s">
        <v>67</v>
      </c>
      <c r="L228" s="17"/>
      <c r="M228" s="17"/>
      <c r="N228" s="16" t="str">
        <f>HYPERLINK("http://slimages.macys.com/is/image/MCY/9541663 ")</f>
        <v xml:space="preserve">http://slimages.macys.com/is/image/MCY/9541663 </v>
      </c>
      <c r="O228" s="30"/>
    </row>
    <row r="229" spans="1:15" ht="48" x14ac:dyDescent="0.25">
      <c r="A229" s="19" t="s">
        <v>4957</v>
      </c>
      <c r="B229" s="17" t="s">
        <v>4956</v>
      </c>
      <c r="C229" s="20">
        <v>1</v>
      </c>
      <c r="D229" s="18">
        <v>14</v>
      </c>
      <c r="E229" s="18">
        <v>40</v>
      </c>
      <c r="F229" s="20" t="s">
        <v>4955</v>
      </c>
      <c r="G229" s="17" t="s">
        <v>35</v>
      </c>
      <c r="H229" s="19" t="s">
        <v>4954</v>
      </c>
      <c r="I229" s="18">
        <v>9.3333333333333339</v>
      </c>
      <c r="J229" s="17" t="s">
        <v>80</v>
      </c>
      <c r="K229" s="17" t="s">
        <v>187</v>
      </c>
      <c r="L229" s="17"/>
      <c r="M229" s="17"/>
      <c r="N229" s="16" t="str">
        <f>HYPERLINK("http://slimages.macys.com/is/image/MCY/19109366 ")</f>
        <v xml:space="preserve">http://slimages.macys.com/is/image/MCY/19109366 </v>
      </c>
      <c r="O229" s="30"/>
    </row>
    <row r="230" spans="1:15" ht="48" x14ac:dyDescent="0.25">
      <c r="A230" s="19" t="s">
        <v>4953</v>
      </c>
      <c r="B230" s="17" t="s">
        <v>4952</v>
      </c>
      <c r="C230" s="20">
        <v>1</v>
      </c>
      <c r="D230" s="18">
        <v>13.98</v>
      </c>
      <c r="E230" s="18">
        <v>49.5</v>
      </c>
      <c r="F230" s="20" t="s">
        <v>3384</v>
      </c>
      <c r="G230" s="17" t="s">
        <v>206</v>
      </c>
      <c r="H230" s="19" t="s">
        <v>197</v>
      </c>
      <c r="I230" s="18">
        <v>9.32</v>
      </c>
      <c r="J230" s="17" t="s">
        <v>68</v>
      </c>
      <c r="K230" s="17" t="s">
        <v>67</v>
      </c>
      <c r="L230" s="17"/>
      <c r="M230" s="17"/>
      <c r="N230" s="16" t="str">
        <f>HYPERLINK("http://slimages.macys.com/is/image/MCY/19179008 ")</f>
        <v xml:space="preserve">http://slimages.macys.com/is/image/MCY/19179008 </v>
      </c>
      <c r="O230" s="30"/>
    </row>
    <row r="231" spans="1:15" ht="48" x14ac:dyDescent="0.25">
      <c r="A231" s="19" t="s">
        <v>3393</v>
      </c>
      <c r="B231" s="17" t="s">
        <v>3392</v>
      </c>
      <c r="C231" s="20">
        <v>1</v>
      </c>
      <c r="D231" s="18">
        <v>13.98</v>
      </c>
      <c r="E231" s="18">
        <v>49.5</v>
      </c>
      <c r="F231" s="20" t="s">
        <v>286</v>
      </c>
      <c r="G231" s="17" t="s">
        <v>91</v>
      </c>
      <c r="H231" s="19" t="s">
        <v>74</v>
      </c>
      <c r="I231" s="18">
        <v>9.32</v>
      </c>
      <c r="J231" s="17" t="s">
        <v>56</v>
      </c>
      <c r="K231" s="17" t="s">
        <v>55</v>
      </c>
      <c r="L231" s="17"/>
      <c r="M231" s="17"/>
      <c r="N231" s="16" t="str">
        <f>HYPERLINK("http://slimages.macys.com/is/image/MCY/16687507 ")</f>
        <v xml:space="preserve">http://slimages.macys.com/is/image/MCY/16687507 </v>
      </c>
      <c r="O231" s="30"/>
    </row>
    <row r="232" spans="1:15" ht="48" x14ac:dyDescent="0.25">
      <c r="A232" s="19" t="s">
        <v>290</v>
      </c>
      <c r="B232" s="17" t="s">
        <v>289</v>
      </c>
      <c r="C232" s="20">
        <v>1</v>
      </c>
      <c r="D232" s="18">
        <v>13.98</v>
      </c>
      <c r="E232" s="18">
        <v>49.5</v>
      </c>
      <c r="F232" s="20" t="s">
        <v>286</v>
      </c>
      <c r="G232" s="17" t="s">
        <v>91</v>
      </c>
      <c r="H232" s="19" t="s">
        <v>57</v>
      </c>
      <c r="I232" s="18">
        <v>9.32</v>
      </c>
      <c r="J232" s="17" t="s">
        <v>56</v>
      </c>
      <c r="K232" s="17" t="s">
        <v>55</v>
      </c>
      <c r="L232" s="17"/>
      <c r="M232" s="17"/>
      <c r="N232" s="16" t="str">
        <f>HYPERLINK("http://slimages.macys.com/is/image/MCY/16687507 ")</f>
        <v xml:space="preserve">http://slimages.macys.com/is/image/MCY/16687507 </v>
      </c>
      <c r="O232" s="30"/>
    </row>
    <row r="233" spans="1:15" ht="48" x14ac:dyDescent="0.25">
      <c r="A233" s="19" t="s">
        <v>3383</v>
      </c>
      <c r="B233" s="17" t="s">
        <v>3382</v>
      </c>
      <c r="C233" s="20">
        <v>2</v>
      </c>
      <c r="D233" s="18">
        <v>13.98</v>
      </c>
      <c r="E233" s="18">
        <v>49.5</v>
      </c>
      <c r="F233" s="20" t="s">
        <v>286</v>
      </c>
      <c r="G233" s="17" t="s">
        <v>51</v>
      </c>
      <c r="H233" s="19" t="s">
        <v>69</v>
      </c>
      <c r="I233" s="18">
        <v>9.32</v>
      </c>
      <c r="J233" s="17" t="s">
        <v>56</v>
      </c>
      <c r="K233" s="17" t="s">
        <v>55</v>
      </c>
      <c r="L233" s="17"/>
      <c r="M233" s="17"/>
      <c r="N233" s="16" t="str">
        <f>HYPERLINK("http://slimages.macys.com/is/image/MCY/19254685 ")</f>
        <v xml:space="preserve">http://slimages.macys.com/is/image/MCY/19254685 </v>
      </c>
      <c r="O233" s="30"/>
    </row>
    <row r="234" spans="1:15" ht="48" x14ac:dyDescent="0.25">
      <c r="A234" s="19" t="s">
        <v>2590</v>
      </c>
      <c r="B234" s="17" t="s">
        <v>2589</v>
      </c>
      <c r="C234" s="20">
        <v>1</v>
      </c>
      <c r="D234" s="18">
        <v>13.98</v>
      </c>
      <c r="E234" s="18">
        <v>49.5</v>
      </c>
      <c r="F234" s="20" t="s">
        <v>286</v>
      </c>
      <c r="G234" s="17" t="s">
        <v>91</v>
      </c>
      <c r="H234" s="19" t="s">
        <v>197</v>
      </c>
      <c r="I234" s="18">
        <v>9.32</v>
      </c>
      <c r="J234" s="17" t="s">
        <v>56</v>
      </c>
      <c r="K234" s="17" t="s">
        <v>55</v>
      </c>
      <c r="L234" s="17"/>
      <c r="M234" s="17"/>
      <c r="N234" s="16" t="str">
        <f>HYPERLINK("http://slimages.macys.com/is/image/MCY/16687507 ")</f>
        <v xml:space="preserve">http://slimages.macys.com/is/image/MCY/16687507 </v>
      </c>
      <c r="O234" s="30"/>
    </row>
    <row r="235" spans="1:15" ht="48" x14ac:dyDescent="0.25">
      <c r="A235" s="19" t="s">
        <v>4272</v>
      </c>
      <c r="B235" s="17" t="s">
        <v>4271</v>
      </c>
      <c r="C235" s="20">
        <v>2</v>
      </c>
      <c r="D235" s="18">
        <v>13.98</v>
      </c>
      <c r="E235" s="18">
        <v>49.5</v>
      </c>
      <c r="F235" s="20" t="s">
        <v>286</v>
      </c>
      <c r="G235" s="17" t="s">
        <v>51</v>
      </c>
      <c r="H235" s="19" t="s">
        <v>197</v>
      </c>
      <c r="I235" s="18">
        <v>9.32</v>
      </c>
      <c r="J235" s="17" t="s">
        <v>56</v>
      </c>
      <c r="K235" s="17" t="s">
        <v>55</v>
      </c>
      <c r="L235" s="17"/>
      <c r="M235" s="17"/>
      <c r="N235" s="16" t="str">
        <f>HYPERLINK("http://slimages.macys.com/is/image/MCY/19254685 ")</f>
        <v xml:space="preserve">http://slimages.macys.com/is/image/MCY/19254685 </v>
      </c>
      <c r="O235" s="30"/>
    </row>
    <row r="236" spans="1:15" ht="60" x14ac:dyDescent="0.25">
      <c r="A236" s="19" t="s">
        <v>4951</v>
      </c>
      <c r="B236" s="17" t="s">
        <v>4950</v>
      </c>
      <c r="C236" s="20">
        <v>1</v>
      </c>
      <c r="D236" s="18">
        <v>13.86</v>
      </c>
      <c r="E236" s="18">
        <v>49.5</v>
      </c>
      <c r="F236" s="20">
        <v>30095395</v>
      </c>
      <c r="G236" s="17" t="s">
        <v>23</v>
      </c>
      <c r="H236" s="19" t="s">
        <v>74</v>
      </c>
      <c r="I236" s="18">
        <v>9.24</v>
      </c>
      <c r="J236" s="17" t="s">
        <v>80</v>
      </c>
      <c r="K236" s="17" t="s">
        <v>513</v>
      </c>
      <c r="L236" s="17"/>
      <c r="M236" s="17"/>
      <c r="N236" s="16" t="str">
        <f>HYPERLINK("http://slimages.macys.com/is/image/MCY/19070491 ")</f>
        <v xml:space="preserve">http://slimages.macys.com/is/image/MCY/19070491 </v>
      </c>
      <c r="O236" s="30"/>
    </row>
    <row r="237" spans="1:15" ht="48" x14ac:dyDescent="0.25">
      <c r="A237" s="19" t="s">
        <v>1047</v>
      </c>
      <c r="B237" s="17" t="s">
        <v>1046</v>
      </c>
      <c r="C237" s="20">
        <v>1</v>
      </c>
      <c r="D237" s="18">
        <v>13.84</v>
      </c>
      <c r="E237" s="18">
        <v>49</v>
      </c>
      <c r="F237" s="20" t="s">
        <v>1045</v>
      </c>
      <c r="G237" s="17" t="s">
        <v>58</v>
      </c>
      <c r="H237" s="19" t="s">
        <v>197</v>
      </c>
      <c r="I237" s="18">
        <v>9.2266666666666666</v>
      </c>
      <c r="J237" s="17" t="s">
        <v>56</v>
      </c>
      <c r="K237" s="17" t="s">
        <v>55</v>
      </c>
      <c r="L237" s="17" t="s">
        <v>389</v>
      </c>
      <c r="M237" s="17" t="s">
        <v>1044</v>
      </c>
      <c r="N237" s="16" t="str">
        <f>HYPERLINK("http://slimages.macys.com/is/image/MCY/11516682 ")</f>
        <v xml:space="preserve">http://slimages.macys.com/is/image/MCY/11516682 </v>
      </c>
      <c r="O237" s="30"/>
    </row>
    <row r="238" spans="1:15" ht="48" x14ac:dyDescent="0.25">
      <c r="A238" s="19" t="s">
        <v>4949</v>
      </c>
      <c r="B238" s="17" t="s">
        <v>4948</v>
      </c>
      <c r="C238" s="20">
        <v>1</v>
      </c>
      <c r="D238" s="18">
        <v>13.84</v>
      </c>
      <c r="E238" s="18">
        <v>49</v>
      </c>
      <c r="F238" s="20" t="s">
        <v>3377</v>
      </c>
      <c r="G238" s="17" t="s">
        <v>28</v>
      </c>
      <c r="H238" s="19" t="s">
        <v>57</v>
      </c>
      <c r="I238" s="18">
        <v>9.2266666666666666</v>
      </c>
      <c r="J238" s="17" t="s">
        <v>56</v>
      </c>
      <c r="K238" s="17" t="s">
        <v>55</v>
      </c>
      <c r="L238" s="17" t="s">
        <v>389</v>
      </c>
      <c r="M238" s="17" t="s">
        <v>3376</v>
      </c>
      <c r="N238" s="16" t="str">
        <f>HYPERLINK("http://slimages.macys.com/is/image/MCY/14367767 ")</f>
        <v xml:space="preserve">http://slimages.macys.com/is/image/MCY/14367767 </v>
      </c>
      <c r="O238" s="30"/>
    </row>
    <row r="239" spans="1:15" ht="60" x14ac:dyDescent="0.25">
      <c r="A239" s="19" t="s">
        <v>4947</v>
      </c>
      <c r="B239" s="17" t="s">
        <v>4946</v>
      </c>
      <c r="C239" s="20">
        <v>1</v>
      </c>
      <c r="D239" s="18">
        <v>13.45</v>
      </c>
      <c r="E239" s="18">
        <v>44.5</v>
      </c>
      <c r="F239" s="20" t="s">
        <v>4945</v>
      </c>
      <c r="G239" s="17" t="s">
        <v>58</v>
      </c>
      <c r="H239" s="19" t="s">
        <v>74</v>
      </c>
      <c r="I239" s="18">
        <v>8.9666666666666668</v>
      </c>
      <c r="J239" s="17" t="s">
        <v>106</v>
      </c>
      <c r="K239" s="17" t="s">
        <v>105</v>
      </c>
      <c r="L239" s="17"/>
      <c r="M239" s="17"/>
      <c r="N239" s="16" t="str">
        <f>HYPERLINK("http://slimages.macys.com/is/image/MCY/19195575 ")</f>
        <v xml:space="preserve">http://slimages.macys.com/is/image/MCY/19195575 </v>
      </c>
      <c r="O239" s="30"/>
    </row>
    <row r="240" spans="1:15" ht="48" x14ac:dyDescent="0.25">
      <c r="A240" s="19" t="s">
        <v>4944</v>
      </c>
      <c r="B240" s="17" t="s">
        <v>4943</v>
      </c>
      <c r="C240" s="20">
        <v>1</v>
      </c>
      <c r="D240" s="18">
        <v>13.42</v>
      </c>
      <c r="E240" s="18">
        <v>34.299999999999997</v>
      </c>
      <c r="F240" s="20" t="s">
        <v>4942</v>
      </c>
      <c r="G240" s="17" t="s">
        <v>28</v>
      </c>
      <c r="H240" s="19" t="s">
        <v>197</v>
      </c>
      <c r="I240" s="18">
        <v>8.9466666666666672</v>
      </c>
      <c r="J240" s="17" t="s">
        <v>42</v>
      </c>
      <c r="K240" s="17" t="s">
        <v>41</v>
      </c>
      <c r="L240" s="17"/>
      <c r="M240" s="17"/>
      <c r="N240" s="16" t="str">
        <f>HYPERLINK("http://slimages.macys.com/is/image/MCY/19387274 ")</f>
        <v xml:space="preserve">http://slimages.macys.com/is/image/MCY/19387274 </v>
      </c>
      <c r="O240" s="30"/>
    </row>
    <row r="241" spans="1:15" ht="48" x14ac:dyDescent="0.25">
      <c r="A241" s="19" t="s">
        <v>4941</v>
      </c>
      <c r="B241" s="17" t="s">
        <v>4940</v>
      </c>
      <c r="C241" s="20">
        <v>1</v>
      </c>
      <c r="D241" s="18">
        <v>13.42</v>
      </c>
      <c r="E241" s="18">
        <v>34.299999999999997</v>
      </c>
      <c r="F241" s="20" t="s">
        <v>257</v>
      </c>
      <c r="G241" s="17" t="s">
        <v>63</v>
      </c>
      <c r="H241" s="19" t="s">
        <v>197</v>
      </c>
      <c r="I241" s="18">
        <v>8.9466666666666672</v>
      </c>
      <c r="J241" s="17" t="s">
        <v>42</v>
      </c>
      <c r="K241" s="17" t="s">
        <v>41</v>
      </c>
      <c r="L241" s="17"/>
      <c r="M241" s="17"/>
      <c r="N241" s="16" t="str">
        <f>HYPERLINK("http://slimages.macys.com/is/image/MCY/19112141 ")</f>
        <v xml:space="preserve">http://slimages.macys.com/is/image/MCY/19112141 </v>
      </c>
      <c r="O241" s="30"/>
    </row>
    <row r="242" spans="1:15" ht="48" x14ac:dyDescent="0.25">
      <c r="A242" s="19" t="s">
        <v>4939</v>
      </c>
      <c r="B242" s="17" t="s">
        <v>4938</v>
      </c>
      <c r="C242" s="20">
        <v>1</v>
      </c>
      <c r="D242" s="18">
        <v>13.42</v>
      </c>
      <c r="E242" s="18">
        <v>34.299999999999997</v>
      </c>
      <c r="F242" s="20" t="s">
        <v>2564</v>
      </c>
      <c r="G242" s="17" t="s">
        <v>51</v>
      </c>
      <c r="H242" s="19" t="s">
        <v>69</v>
      </c>
      <c r="I242" s="18">
        <v>8.9466666666666672</v>
      </c>
      <c r="J242" s="17" t="s">
        <v>42</v>
      </c>
      <c r="K242" s="17" t="s">
        <v>41</v>
      </c>
      <c r="L242" s="17"/>
      <c r="M242" s="17"/>
      <c r="N242" s="16" t="str">
        <f>HYPERLINK("http://slimages.macys.com/is/image/MCY/18545282 ")</f>
        <v xml:space="preserve">http://slimages.macys.com/is/image/MCY/18545282 </v>
      </c>
      <c r="O242" s="30"/>
    </row>
    <row r="243" spans="1:15" ht="60" x14ac:dyDescent="0.25">
      <c r="A243" s="19" t="s">
        <v>4937</v>
      </c>
      <c r="B243" s="17" t="s">
        <v>4936</v>
      </c>
      <c r="C243" s="20">
        <v>3</v>
      </c>
      <c r="D243" s="18">
        <v>12.5</v>
      </c>
      <c r="E243" s="18">
        <v>50</v>
      </c>
      <c r="F243" s="20">
        <v>30136795</v>
      </c>
      <c r="G243" s="17" t="s">
        <v>282</v>
      </c>
      <c r="H243" s="19" t="s">
        <v>116</v>
      </c>
      <c r="I243" s="18">
        <v>8.3333333333333339</v>
      </c>
      <c r="J243" s="17" t="s">
        <v>1777</v>
      </c>
      <c r="K243" s="17" t="s">
        <v>1776</v>
      </c>
      <c r="L243" s="17"/>
      <c r="M243" s="17"/>
      <c r="N243" s="16" t="str">
        <f>HYPERLINK("http://slimages.macys.com/is/image/MCY/18284959 ")</f>
        <v xml:space="preserve">http://slimages.macys.com/is/image/MCY/18284959 </v>
      </c>
      <c r="O243" s="30"/>
    </row>
    <row r="244" spans="1:15" ht="48" x14ac:dyDescent="0.25">
      <c r="A244" s="19" t="s">
        <v>4935</v>
      </c>
      <c r="B244" s="17" t="s">
        <v>4934</v>
      </c>
      <c r="C244" s="20">
        <v>1</v>
      </c>
      <c r="D244" s="18">
        <v>12.25</v>
      </c>
      <c r="E244" s="18">
        <v>49</v>
      </c>
      <c r="F244" s="20">
        <v>9460653</v>
      </c>
      <c r="G244" s="17" t="s">
        <v>23</v>
      </c>
      <c r="H244" s="19" t="s">
        <v>271</v>
      </c>
      <c r="I244" s="18">
        <v>8.1666666666666679</v>
      </c>
      <c r="J244" s="17" t="s">
        <v>138</v>
      </c>
      <c r="K244" s="17" t="s">
        <v>137</v>
      </c>
      <c r="L244" s="17"/>
      <c r="M244" s="17"/>
      <c r="N244" s="16" t="str">
        <f>HYPERLINK("http://slimages.macys.com/is/image/MCY/19434740 ")</f>
        <v xml:space="preserve">http://slimages.macys.com/is/image/MCY/19434740 </v>
      </c>
      <c r="O244" s="30"/>
    </row>
    <row r="245" spans="1:15" ht="60" x14ac:dyDescent="0.25">
      <c r="A245" s="19" t="s">
        <v>4933</v>
      </c>
      <c r="B245" s="17" t="s">
        <v>4932</v>
      </c>
      <c r="C245" s="20">
        <v>1</v>
      </c>
      <c r="D245" s="18">
        <v>11.94</v>
      </c>
      <c r="E245" s="18">
        <v>39.5</v>
      </c>
      <c r="F245" s="20" t="s">
        <v>4931</v>
      </c>
      <c r="G245" s="17" t="s">
        <v>91</v>
      </c>
      <c r="H245" s="19" t="s">
        <v>74</v>
      </c>
      <c r="I245" s="18">
        <v>7.96</v>
      </c>
      <c r="J245" s="17" t="s">
        <v>106</v>
      </c>
      <c r="K245" s="17" t="s">
        <v>105</v>
      </c>
      <c r="L245" s="17"/>
      <c r="M245" s="17"/>
      <c r="N245" s="16" t="str">
        <f>HYPERLINK("http://slimages.macys.com/is/image/MCY/18104615 ")</f>
        <v xml:space="preserve">http://slimages.macys.com/is/image/MCY/18104615 </v>
      </c>
      <c r="O245" s="30"/>
    </row>
    <row r="246" spans="1:15" ht="48" x14ac:dyDescent="0.25">
      <c r="A246" s="19" t="s">
        <v>2536</v>
      </c>
      <c r="B246" s="17" t="s">
        <v>2535</v>
      </c>
      <c r="C246" s="20">
        <v>1</v>
      </c>
      <c r="D246" s="18">
        <v>11.16</v>
      </c>
      <c r="E246" s="18">
        <v>39.5</v>
      </c>
      <c r="F246" s="20" t="s">
        <v>1000</v>
      </c>
      <c r="G246" s="17" t="s">
        <v>91</v>
      </c>
      <c r="H246" s="19" t="s">
        <v>69</v>
      </c>
      <c r="I246" s="18">
        <v>7.4400000000000013</v>
      </c>
      <c r="J246" s="17" t="s">
        <v>56</v>
      </c>
      <c r="K246" s="17" t="s">
        <v>55</v>
      </c>
      <c r="L246" s="17"/>
      <c r="M246" s="17"/>
      <c r="N246" s="16" t="str">
        <f>HYPERLINK("http://slimages.macys.com/is/image/MCY/19394976 ")</f>
        <v xml:space="preserve">http://slimages.macys.com/is/image/MCY/19394976 </v>
      </c>
      <c r="O246" s="30"/>
    </row>
    <row r="247" spans="1:15" ht="48" x14ac:dyDescent="0.25">
      <c r="A247" s="19" t="s">
        <v>4930</v>
      </c>
      <c r="B247" s="17" t="s">
        <v>4929</v>
      </c>
      <c r="C247" s="20">
        <v>1</v>
      </c>
      <c r="D247" s="18">
        <v>11.16</v>
      </c>
      <c r="E247" s="18">
        <v>39.5</v>
      </c>
      <c r="F247" s="20" t="s">
        <v>1005</v>
      </c>
      <c r="G247" s="17" t="s">
        <v>58</v>
      </c>
      <c r="H247" s="19" t="s">
        <v>197</v>
      </c>
      <c r="I247" s="18">
        <v>7.4400000000000013</v>
      </c>
      <c r="J247" s="17" t="s">
        <v>56</v>
      </c>
      <c r="K247" s="17" t="s">
        <v>55</v>
      </c>
      <c r="L247" s="17"/>
      <c r="M247" s="17"/>
      <c r="N247" s="16" t="str">
        <f>HYPERLINK("http://slimages.macys.com/is/image/MCY/19179628 ")</f>
        <v xml:space="preserve">http://slimages.macys.com/is/image/MCY/19179628 </v>
      </c>
      <c r="O247" s="30"/>
    </row>
    <row r="248" spans="1:15" ht="48" x14ac:dyDescent="0.25">
      <c r="A248" s="19" t="s">
        <v>4928</v>
      </c>
      <c r="B248" s="17" t="s">
        <v>4927</v>
      </c>
      <c r="C248" s="20">
        <v>2</v>
      </c>
      <c r="D248" s="18">
        <v>11.16</v>
      </c>
      <c r="E248" s="18">
        <v>39.5</v>
      </c>
      <c r="F248" s="20" t="s">
        <v>1005</v>
      </c>
      <c r="G248" s="17" t="s">
        <v>23</v>
      </c>
      <c r="H248" s="19" t="s">
        <v>62</v>
      </c>
      <c r="I248" s="18">
        <v>7.4400000000000013</v>
      </c>
      <c r="J248" s="17" t="s">
        <v>56</v>
      </c>
      <c r="K248" s="17" t="s">
        <v>55</v>
      </c>
      <c r="L248" s="17"/>
      <c r="M248" s="17"/>
      <c r="N248" s="16" t="str">
        <f>HYPERLINK("http://slimages.macys.com/is/image/MCY/19179628 ")</f>
        <v xml:space="preserve">http://slimages.macys.com/is/image/MCY/19179628 </v>
      </c>
      <c r="O248" s="30"/>
    </row>
    <row r="249" spans="1:15" ht="48" x14ac:dyDescent="0.25">
      <c r="A249" s="19" t="s">
        <v>992</v>
      </c>
      <c r="B249" s="17" t="s">
        <v>991</v>
      </c>
      <c r="C249" s="20">
        <v>3</v>
      </c>
      <c r="D249" s="18">
        <v>11.16</v>
      </c>
      <c r="E249" s="18">
        <v>39.5</v>
      </c>
      <c r="F249" s="20" t="s">
        <v>213</v>
      </c>
      <c r="G249" s="17" t="s">
        <v>63</v>
      </c>
      <c r="H249" s="19" t="s">
        <v>62</v>
      </c>
      <c r="I249" s="18">
        <v>7.4400000000000013</v>
      </c>
      <c r="J249" s="17" t="s">
        <v>56</v>
      </c>
      <c r="K249" s="17" t="s">
        <v>55</v>
      </c>
      <c r="L249" s="17"/>
      <c r="M249" s="17"/>
      <c r="N249" s="16" t="str">
        <f>HYPERLINK("http://slimages.macys.com/is/image/MCY/19179536 ")</f>
        <v xml:space="preserve">http://slimages.macys.com/is/image/MCY/19179536 </v>
      </c>
      <c r="O249" s="30"/>
    </row>
    <row r="250" spans="1:15" ht="48" x14ac:dyDescent="0.25">
      <c r="A250" s="19" t="s">
        <v>4926</v>
      </c>
      <c r="B250" s="17" t="s">
        <v>4925</v>
      </c>
      <c r="C250" s="20">
        <v>1</v>
      </c>
      <c r="D250" s="18">
        <v>11.16</v>
      </c>
      <c r="E250" s="18">
        <v>39.5</v>
      </c>
      <c r="F250" s="20" t="s">
        <v>3300</v>
      </c>
      <c r="G250" s="17" t="s">
        <v>51</v>
      </c>
      <c r="H250" s="19" t="s">
        <v>57</v>
      </c>
      <c r="I250" s="18">
        <v>7.4400000000000013</v>
      </c>
      <c r="J250" s="17" t="s">
        <v>56</v>
      </c>
      <c r="K250" s="17" t="s">
        <v>55</v>
      </c>
      <c r="L250" s="17"/>
      <c r="M250" s="17"/>
      <c r="N250" s="16" t="str">
        <f>HYPERLINK("http://slimages.macys.com/is/image/MCY/19183292 ")</f>
        <v xml:space="preserve">http://slimages.macys.com/is/image/MCY/19183292 </v>
      </c>
      <c r="O250" s="30"/>
    </row>
    <row r="251" spans="1:15" ht="48" x14ac:dyDescent="0.25">
      <c r="A251" s="19" t="s">
        <v>2538</v>
      </c>
      <c r="B251" s="17" t="s">
        <v>2537</v>
      </c>
      <c r="C251" s="20">
        <v>1</v>
      </c>
      <c r="D251" s="18">
        <v>11.16</v>
      </c>
      <c r="E251" s="18">
        <v>39.5</v>
      </c>
      <c r="F251" s="20" t="s">
        <v>1000</v>
      </c>
      <c r="G251" s="17" t="s">
        <v>91</v>
      </c>
      <c r="H251" s="19" t="s">
        <v>62</v>
      </c>
      <c r="I251" s="18">
        <v>7.4400000000000013</v>
      </c>
      <c r="J251" s="17" t="s">
        <v>56</v>
      </c>
      <c r="K251" s="17" t="s">
        <v>55</v>
      </c>
      <c r="L251" s="17"/>
      <c r="M251" s="17"/>
      <c r="N251" s="16" t="str">
        <f>HYPERLINK("http://slimages.macys.com/is/image/MCY/19394976 ")</f>
        <v xml:space="preserve">http://slimages.macys.com/is/image/MCY/19394976 </v>
      </c>
      <c r="O251" s="30"/>
    </row>
    <row r="252" spans="1:15" ht="48" x14ac:dyDescent="0.25">
      <c r="A252" s="19" t="s">
        <v>1721</v>
      </c>
      <c r="B252" s="17" t="s">
        <v>1720</v>
      </c>
      <c r="C252" s="20">
        <v>1</v>
      </c>
      <c r="D252" s="18">
        <v>11.16</v>
      </c>
      <c r="E252" s="18">
        <v>39.5</v>
      </c>
      <c r="F252" s="20" t="s">
        <v>213</v>
      </c>
      <c r="G252" s="17" t="s">
        <v>63</v>
      </c>
      <c r="H252" s="19" t="s">
        <v>74</v>
      </c>
      <c r="I252" s="18">
        <v>7.4400000000000013</v>
      </c>
      <c r="J252" s="17" t="s">
        <v>56</v>
      </c>
      <c r="K252" s="17" t="s">
        <v>55</v>
      </c>
      <c r="L252" s="17"/>
      <c r="M252" s="17"/>
      <c r="N252" s="16" t="str">
        <f>HYPERLINK("http://slimages.macys.com/is/image/MCY/19179536 ")</f>
        <v xml:space="preserve">http://slimages.macys.com/is/image/MCY/19179536 </v>
      </c>
      <c r="O252" s="30"/>
    </row>
    <row r="253" spans="1:15" ht="48" x14ac:dyDescent="0.25">
      <c r="A253" s="19" t="s">
        <v>1014</v>
      </c>
      <c r="B253" s="17" t="s">
        <v>1013</v>
      </c>
      <c r="C253" s="20">
        <v>1</v>
      </c>
      <c r="D253" s="18">
        <v>11.16</v>
      </c>
      <c r="E253" s="18">
        <v>39.5</v>
      </c>
      <c r="F253" s="20" t="s">
        <v>213</v>
      </c>
      <c r="G253" s="17" t="s">
        <v>23</v>
      </c>
      <c r="H253" s="19" t="s">
        <v>62</v>
      </c>
      <c r="I253" s="18">
        <v>7.4400000000000013</v>
      </c>
      <c r="J253" s="17" t="s">
        <v>56</v>
      </c>
      <c r="K253" s="17" t="s">
        <v>55</v>
      </c>
      <c r="L253" s="17"/>
      <c r="M253" s="17"/>
      <c r="N253" s="16" t="str">
        <f>HYPERLINK("http://slimages.macys.com/is/image/MCY/19179536 ")</f>
        <v xml:space="preserve">http://slimages.macys.com/is/image/MCY/19179536 </v>
      </c>
      <c r="O253" s="30"/>
    </row>
    <row r="254" spans="1:15" ht="48" x14ac:dyDescent="0.25">
      <c r="A254" s="19" t="s">
        <v>4211</v>
      </c>
      <c r="B254" s="17" t="s">
        <v>4210</v>
      </c>
      <c r="C254" s="20">
        <v>1</v>
      </c>
      <c r="D254" s="18">
        <v>11.16</v>
      </c>
      <c r="E254" s="18">
        <v>39.5</v>
      </c>
      <c r="F254" s="20" t="s">
        <v>2542</v>
      </c>
      <c r="G254" s="17" t="s">
        <v>58</v>
      </c>
      <c r="H254" s="19" t="s">
        <v>74</v>
      </c>
      <c r="I254" s="18">
        <v>7.4400000000000013</v>
      </c>
      <c r="J254" s="17" t="s">
        <v>56</v>
      </c>
      <c r="K254" s="17" t="s">
        <v>55</v>
      </c>
      <c r="L254" s="17"/>
      <c r="M254" s="17"/>
      <c r="N254" s="16" t="str">
        <f>HYPERLINK("http://slimages.macys.com/is/image/MCY/16688361 ")</f>
        <v xml:space="preserve">http://slimages.macys.com/is/image/MCY/16688361 </v>
      </c>
      <c r="O254" s="30"/>
    </row>
    <row r="255" spans="1:15" ht="48" x14ac:dyDescent="0.25">
      <c r="A255" s="19" t="s">
        <v>990</v>
      </c>
      <c r="B255" s="17" t="s">
        <v>989</v>
      </c>
      <c r="C255" s="20">
        <v>1</v>
      </c>
      <c r="D255" s="18">
        <v>11.16</v>
      </c>
      <c r="E255" s="18">
        <v>39.5</v>
      </c>
      <c r="F255" s="20" t="s">
        <v>213</v>
      </c>
      <c r="G255" s="17" t="s">
        <v>63</v>
      </c>
      <c r="H255" s="19" t="s">
        <v>57</v>
      </c>
      <c r="I255" s="18">
        <v>7.4400000000000013</v>
      </c>
      <c r="J255" s="17" t="s">
        <v>56</v>
      </c>
      <c r="K255" s="17" t="s">
        <v>55</v>
      </c>
      <c r="L255" s="17"/>
      <c r="M255" s="17"/>
      <c r="N255" s="16" t="str">
        <f>HYPERLINK("http://slimages.macys.com/is/image/MCY/19179536 ")</f>
        <v xml:space="preserve">http://slimages.macys.com/is/image/MCY/19179536 </v>
      </c>
      <c r="O255" s="30"/>
    </row>
    <row r="256" spans="1:15" ht="48" x14ac:dyDescent="0.25">
      <c r="A256" s="19" t="s">
        <v>1016</v>
      </c>
      <c r="B256" s="17" t="s">
        <v>1015</v>
      </c>
      <c r="C256" s="20">
        <v>1</v>
      </c>
      <c r="D256" s="18">
        <v>11.16</v>
      </c>
      <c r="E256" s="18">
        <v>39.5</v>
      </c>
      <c r="F256" s="20" t="s">
        <v>1000</v>
      </c>
      <c r="G256" s="17" t="s">
        <v>91</v>
      </c>
      <c r="H256" s="19" t="s">
        <v>74</v>
      </c>
      <c r="I256" s="18">
        <v>7.4400000000000013</v>
      </c>
      <c r="J256" s="17" t="s">
        <v>56</v>
      </c>
      <c r="K256" s="17" t="s">
        <v>55</v>
      </c>
      <c r="L256" s="17"/>
      <c r="M256" s="17"/>
      <c r="N256" s="16" t="str">
        <f>HYPERLINK("http://slimages.macys.com/is/image/MCY/19394976 ")</f>
        <v xml:space="preserve">http://slimages.macys.com/is/image/MCY/19394976 </v>
      </c>
      <c r="O256" s="30"/>
    </row>
    <row r="257" spans="1:15" ht="48" x14ac:dyDescent="0.25">
      <c r="A257" s="19" t="s">
        <v>4924</v>
      </c>
      <c r="B257" s="17" t="s">
        <v>4923</v>
      </c>
      <c r="C257" s="20">
        <v>1</v>
      </c>
      <c r="D257" s="18">
        <v>11</v>
      </c>
      <c r="E257" s="18">
        <v>59</v>
      </c>
      <c r="F257" s="20" t="s">
        <v>1710</v>
      </c>
      <c r="G257" s="17" t="s">
        <v>726</v>
      </c>
      <c r="H257" s="19" t="s">
        <v>351</v>
      </c>
      <c r="I257" s="18">
        <v>7.3333333333333339</v>
      </c>
      <c r="J257" s="17" t="s">
        <v>550</v>
      </c>
      <c r="K257" s="17" t="s">
        <v>1448</v>
      </c>
      <c r="L257" s="17"/>
      <c r="M257" s="17"/>
      <c r="N257" s="16" t="str">
        <f>HYPERLINK("http://slimages.macys.com/is/image/MCY/18373541 ")</f>
        <v xml:space="preserve">http://slimages.macys.com/is/image/MCY/18373541 </v>
      </c>
      <c r="O257" s="30"/>
    </row>
    <row r="258" spans="1:15" ht="48" x14ac:dyDescent="0.25">
      <c r="A258" s="19" t="s">
        <v>4922</v>
      </c>
      <c r="B258" s="17" t="s">
        <v>4921</v>
      </c>
      <c r="C258" s="20">
        <v>1</v>
      </c>
      <c r="D258" s="18">
        <v>11</v>
      </c>
      <c r="E258" s="18">
        <v>59</v>
      </c>
      <c r="F258" s="20" t="s">
        <v>1710</v>
      </c>
      <c r="G258" s="17" t="s">
        <v>51</v>
      </c>
      <c r="H258" s="19" t="s">
        <v>271</v>
      </c>
      <c r="I258" s="18">
        <v>7.3333333333333339</v>
      </c>
      <c r="J258" s="17" t="s">
        <v>550</v>
      </c>
      <c r="K258" s="17" t="s">
        <v>1448</v>
      </c>
      <c r="L258" s="17"/>
      <c r="M258" s="17"/>
      <c r="N258" s="16" t="str">
        <f>HYPERLINK("http://slimages.macys.com/is/image/MCY/18373541 ")</f>
        <v xml:space="preserve">http://slimages.macys.com/is/image/MCY/18373541 </v>
      </c>
      <c r="O258" s="30"/>
    </row>
    <row r="259" spans="1:15" ht="48" x14ac:dyDescent="0.25">
      <c r="A259" s="19" t="s">
        <v>4920</v>
      </c>
      <c r="B259" s="17" t="s">
        <v>4919</v>
      </c>
      <c r="C259" s="20">
        <v>1</v>
      </c>
      <c r="D259" s="18">
        <v>11</v>
      </c>
      <c r="E259" s="18">
        <v>59</v>
      </c>
      <c r="F259" s="20" t="s">
        <v>4918</v>
      </c>
      <c r="G259" s="17" t="s">
        <v>1536</v>
      </c>
      <c r="H259" s="19" t="s">
        <v>139</v>
      </c>
      <c r="I259" s="18">
        <v>7.3333333333333339</v>
      </c>
      <c r="J259" s="17" t="s">
        <v>550</v>
      </c>
      <c r="K259" s="17" t="s">
        <v>1448</v>
      </c>
      <c r="L259" s="17"/>
      <c r="M259" s="17"/>
      <c r="N259" s="16" t="str">
        <f>HYPERLINK("http://slimages.macys.com/is/image/MCY/18373595 ")</f>
        <v xml:space="preserve">http://slimages.macys.com/is/image/MCY/18373595 </v>
      </c>
      <c r="O259" s="30"/>
    </row>
    <row r="260" spans="1:15" ht="48" x14ac:dyDescent="0.25">
      <c r="A260" s="19" t="s">
        <v>4917</v>
      </c>
      <c r="B260" s="17" t="s">
        <v>4916</v>
      </c>
      <c r="C260" s="20">
        <v>1</v>
      </c>
      <c r="D260" s="18">
        <v>11</v>
      </c>
      <c r="E260" s="18">
        <v>44</v>
      </c>
      <c r="F260" s="20">
        <v>7021624</v>
      </c>
      <c r="G260" s="17" t="s">
        <v>91</v>
      </c>
      <c r="H260" s="19" t="s">
        <v>62</v>
      </c>
      <c r="I260" s="18">
        <v>7.3333333333333339</v>
      </c>
      <c r="J260" s="17" t="s">
        <v>111</v>
      </c>
      <c r="K260" s="17" t="s">
        <v>110</v>
      </c>
      <c r="L260" s="17"/>
      <c r="M260" s="17"/>
      <c r="N260" s="16" t="str">
        <f>HYPERLINK("http://slimages.macys.com/is/image/MCY/18742229 ")</f>
        <v xml:space="preserve">http://slimages.macys.com/is/image/MCY/18742229 </v>
      </c>
      <c r="O260" s="30"/>
    </row>
    <row r="261" spans="1:15" ht="48" x14ac:dyDescent="0.25">
      <c r="A261" s="19" t="s">
        <v>4915</v>
      </c>
      <c r="B261" s="17" t="s">
        <v>4914</v>
      </c>
      <c r="C261" s="20">
        <v>1</v>
      </c>
      <c r="D261" s="18">
        <v>10.86</v>
      </c>
      <c r="E261" s="18">
        <v>49.5</v>
      </c>
      <c r="F261" s="20" t="s">
        <v>4187</v>
      </c>
      <c r="G261" s="17" t="s">
        <v>272</v>
      </c>
      <c r="H261" s="19" t="s">
        <v>271</v>
      </c>
      <c r="I261" s="18">
        <v>7.2400000000000011</v>
      </c>
      <c r="J261" s="17" t="s">
        <v>267</v>
      </c>
      <c r="K261" s="17" t="s">
        <v>32</v>
      </c>
      <c r="L261" s="17"/>
      <c r="M261" s="17"/>
      <c r="N261" s="16" t="str">
        <f>HYPERLINK("http://slimages.macys.com/is/image/MCY/18747789 ")</f>
        <v xml:space="preserve">http://slimages.macys.com/is/image/MCY/18747789 </v>
      </c>
      <c r="O261" s="30"/>
    </row>
    <row r="262" spans="1:15" ht="48" x14ac:dyDescent="0.25">
      <c r="A262" s="19" t="s">
        <v>4913</v>
      </c>
      <c r="B262" s="17" t="s">
        <v>4912</v>
      </c>
      <c r="C262" s="20">
        <v>1</v>
      </c>
      <c r="D262" s="18">
        <v>9.75</v>
      </c>
      <c r="E262" s="18">
        <v>39</v>
      </c>
      <c r="F262" s="20">
        <v>10745280</v>
      </c>
      <c r="G262" s="17" t="s">
        <v>23</v>
      </c>
      <c r="H262" s="19" t="s">
        <v>62</v>
      </c>
      <c r="I262" s="18">
        <v>6.5</v>
      </c>
      <c r="J262" s="17" t="s">
        <v>144</v>
      </c>
      <c r="K262" s="17" t="s">
        <v>1211</v>
      </c>
      <c r="L262" s="17" t="s">
        <v>389</v>
      </c>
      <c r="M262" s="17" t="s">
        <v>662</v>
      </c>
      <c r="N262" s="16" t="str">
        <f>HYPERLINK("http://slimages.macys.com/is/image/MCY/14842351 ")</f>
        <v xml:space="preserve">http://slimages.macys.com/is/image/MCY/14842351 </v>
      </c>
      <c r="O262" s="30"/>
    </row>
    <row r="263" spans="1:15" ht="60" x14ac:dyDescent="0.25">
      <c r="A263" s="19" t="s">
        <v>4911</v>
      </c>
      <c r="B263" s="17" t="s">
        <v>4910</v>
      </c>
      <c r="C263" s="20">
        <v>3</v>
      </c>
      <c r="D263" s="18">
        <v>9.75</v>
      </c>
      <c r="E263" s="18">
        <v>38</v>
      </c>
      <c r="F263" s="20" t="s">
        <v>2607</v>
      </c>
      <c r="G263" s="17" t="s">
        <v>1323</v>
      </c>
      <c r="H263" s="19" t="s">
        <v>69</v>
      </c>
      <c r="I263" s="18">
        <v>6.5</v>
      </c>
      <c r="J263" s="17" t="s">
        <v>80</v>
      </c>
      <c r="K263" s="17" t="s">
        <v>79</v>
      </c>
      <c r="L263" s="17" t="s">
        <v>637</v>
      </c>
      <c r="M263" s="17" t="s">
        <v>3495</v>
      </c>
      <c r="N263" s="16" t="str">
        <f>HYPERLINK("http://images.bloomingdales.com/is/image/BLM/11310737 ")</f>
        <v xml:space="preserve">http://images.bloomingdales.com/is/image/BLM/11310737 </v>
      </c>
      <c r="O263" s="30"/>
    </row>
    <row r="264" spans="1:15" ht="48" x14ac:dyDescent="0.25">
      <c r="A264" s="19" t="s">
        <v>4909</v>
      </c>
      <c r="B264" s="17" t="s">
        <v>4908</v>
      </c>
      <c r="C264" s="20">
        <v>12</v>
      </c>
      <c r="D264" s="18">
        <v>9.74</v>
      </c>
      <c r="E264" s="18">
        <v>29.5</v>
      </c>
      <c r="F264" s="20" t="s">
        <v>4907</v>
      </c>
      <c r="G264" s="17" t="s">
        <v>81</v>
      </c>
      <c r="H264" s="19" t="s">
        <v>69</v>
      </c>
      <c r="I264" s="18">
        <v>6.4933333333333332</v>
      </c>
      <c r="J264" s="17" t="s">
        <v>654</v>
      </c>
      <c r="K264" s="17" t="s">
        <v>653</v>
      </c>
      <c r="L264" s="17"/>
      <c r="M264" s="17"/>
      <c r="N264" s="16" t="str">
        <f>HYPERLINK("http://slimages.macys.com/is/image/MCY/19193405 ")</f>
        <v xml:space="preserve">http://slimages.macys.com/is/image/MCY/19193405 </v>
      </c>
      <c r="O264" s="30"/>
    </row>
    <row r="265" spans="1:15" ht="60" x14ac:dyDescent="0.25">
      <c r="A265" s="19" t="s">
        <v>4906</v>
      </c>
      <c r="B265" s="17" t="s">
        <v>4905</v>
      </c>
      <c r="C265" s="20">
        <v>1</v>
      </c>
      <c r="D265" s="18">
        <v>8.91</v>
      </c>
      <c r="E265" s="18">
        <v>29.5</v>
      </c>
      <c r="F265" s="20" t="s">
        <v>4904</v>
      </c>
      <c r="G265" s="17" t="s">
        <v>91</v>
      </c>
      <c r="H265" s="19" t="s">
        <v>197</v>
      </c>
      <c r="I265" s="18">
        <v>5.94</v>
      </c>
      <c r="J265" s="17" t="s">
        <v>106</v>
      </c>
      <c r="K265" s="17" t="s">
        <v>105</v>
      </c>
      <c r="L265" s="17"/>
      <c r="M265" s="17"/>
      <c r="N265" s="16" t="str">
        <f>HYPERLINK("http://slimages.macys.com/is/image/MCY/19037910 ")</f>
        <v xml:space="preserve">http://slimages.macys.com/is/image/MCY/19037910 </v>
      </c>
      <c r="O265" s="30"/>
    </row>
    <row r="266" spans="1:15" ht="48" x14ac:dyDescent="0.25">
      <c r="A266" s="19" t="s">
        <v>4903</v>
      </c>
      <c r="B266" s="17" t="s">
        <v>4902</v>
      </c>
      <c r="C266" s="20">
        <v>1</v>
      </c>
      <c r="D266" s="18">
        <v>8.7899999999999991</v>
      </c>
      <c r="E266" s="18">
        <v>25</v>
      </c>
      <c r="F266" s="20" t="s">
        <v>2482</v>
      </c>
      <c r="G266" s="17" t="s">
        <v>164</v>
      </c>
      <c r="H266" s="19" t="s">
        <v>101</v>
      </c>
      <c r="I266" s="18">
        <v>5.86</v>
      </c>
      <c r="J266" s="17" t="s">
        <v>16</v>
      </c>
      <c r="K266" s="17" t="s">
        <v>15</v>
      </c>
      <c r="L266" s="17"/>
      <c r="M266" s="17"/>
      <c r="N266" s="16" t="str">
        <f>HYPERLINK("http://slimages.macys.com/is/image/MCY/19147143 ")</f>
        <v xml:space="preserve">http://slimages.macys.com/is/image/MCY/19147143 </v>
      </c>
      <c r="O266" s="30"/>
    </row>
    <row r="267" spans="1:15" ht="48" x14ac:dyDescent="0.25">
      <c r="A267" s="19" t="s">
        <v>4901</v>
      </c>
      <c r="B267" s="17" t="s">
        <v>4900</v>
      </c>
      <c r="C267" s="20">
        <v>1</v>
      </c>
      <c r="D267" s="18">
        <v>8.7899999999999991</v>
      </c>
      <c r="E267" s="18">
        <v>25</v>
      </c>
      <c r="F267" s="20" t="s">
        <v>2482</v>
      </c>
      <c r="G267" s="17" t="s">
        <v>558</v>
      </c>
      <c r="H267" s="19" t="s">
        <v>50</v>
      </c>
      <c r="I267" s="18">
        <v>5.86</v>
      </c>
      <c r="J267" s="17" t="s">
        <v>16</v>
      </c>
      <c r="K267" s="17" t="s">
        <v>15</v>
      </c>
      <c r="L267" s="17"/>
      <c r="M267" s="17"/>
      <c r="N267" s="16" t="str">
        <f>HYPERLINK("http://slimages.macys.com/is/image/MCY/19147143 ")</f>
        <v xml:space="preserve">http://slimages.macys.com/is/image/MCY/19147143 </v>
      </c>
      <c r="O267" s="30"/>
    </row>
    <row r="268" spans="1:15" ht="48" x14ac:dyDescent="0.25">
      <c r="A268" s="19" t="s">
        <v>2468</v>
      </c>
      <c r="B268" s="17" t="s">
        <v>2467</v>
      </c>
      <c r="C268" s="20">
        <v>1</v>
      </c>
      <c r="D268" s="18">
        <v>8.7799999999999994</v>
      </c>
      <c r="E268" s="18">
        <v>25</v>
      </c>
      <c r="F268" s="20" t="s">
        <v>2466</v>
      </c>
      <c r="G268" s="17" t="s">
        <v>23</v>
      </c>
      <c r="H268" s="19" t="s">
        <v>62</v>
      </c>
      <c r="I268" s="18">
        <v>5.8533333333333335</v>
      </c>
      <c r="J268" s="17" t="s">
        <v>16</v>
      </c>
      <c r="K268" s="17" t="s">
        <v>15</v>
      </c>
      <c r="L268" s="17"/>
      <c r="M268" s="17"/>
      <c r="N268" s="16" t="str">
        <f>HYPERLINK("http://slimages.macys.com/is/image/MCY/18520742 ")</f>
        <v xml:space="preserve">http://slimages.macys.com/is/image/MCY/18520742 </v>
      </c>
      <c r="O268" s="30"/>
    </row>
    <row r="269" spans="1:15" ht="48" x14ac:dyDescent="0.25">
      <c r="A269" s="19" t="s">
        <v>4899</v>
      </c>
      <c r="B269" s="17" t="s">
        <v>4898</v>
      </c>
      <c r="C269" s="20">
        <v>1</v>
      </c>
      <c r="D269" s="18">
        <v>8.7799999999999994</v>
      </c>
      <c r="E269" s="18">
        <v>25</v>
      </c>
      <c r="F269" s="20" t="s">
        <v>2466</v>
      </c>
      <c r="G269" s="17" t="s">
        <v>85</v>
      </c>
      <c r="H269" s="19" t="s">
        <v>50</v>
      </c>
      <c r="I269" s="18">
        <v>5.8533333333333335</v>
      </c>
      <c r="J269" s="17" t="s">
        <v>16</v>
      </c>
      <c r="K269" s="17" t="s">
        <v>15</v>
      </c>
      <c r="L269" s="17"/>
      <c r="M269" s="17"/>
      <c r="N269" s="16" t="str">
        <f>HYPERLINK("http://slimages.macys.com/is/image/MCY/18520742 ")</f>
        <v xml:space="preserve">http://slimages.macys.com/is/image/MCY/18520742 </v>
      </c>
      <c r="O269" s="30"/>
    </row>
    <row r="270" spans="1:15" ht="48" x14ac:dyDescent="0.25">
      <c r="A270" s="19" t="s">
        <v>4897</v>
      </c>
      <c r="B270" s="17" t="s">
        <v>4896</v>
      </c>
      <c r="C270" s="20">
        <v>1</v>
      </c>
      <c r="D270" s="18">
        <v>8.7799999999999994</v>
      </c>
      <c r="E270" s="18">
        <v>25</v>
      </c>
      <c r="F270" s="20" t="s">
        <v>2466</v>
      </c>
      <c r="G270" s="17" t="s">
        <v>85</v>
      </c>
      <c r="H270" s="19" t="s">
        <v>101</v>
      </c>
      <c r="I270" s="18">
        <v>5.8533333333333335</v>
      </c>
      <c r="J270" s="17" t="s">
        <v>16</v>
      </c>
      <c r="K270" s="17" t="s">
        <v>15</v>
      </c>
      <c r="L270" s="17"/>
      <c r="M270" s="17"/>
      <c r="N270" s="16" t="str">
        <f>HYPERLINK("http://slimages.macys.com/is/image/MCY/18520742 ")</f>
        <v xml:space="preserve">http://slimages.macys.com/is/image/MCY/18520742 </v>
      </c>
      <c r="O270" s="30"/>
    </row>
    <row r="271" spans="1:15" ht="48" x14ac:dyDescent="0.25">
      <c r="A271" s="19" t="s">
        <v>4895</v>
      </c>
      <c r="B271" s="17" t="s">
        <v>4894</v>
      </c>
      <c r="C271" s="20">
        <v>1</v>
      </c>
      <c r="D271" s="18">
        <v>8.6</v>
      </c>
      <c r="E271" s="18">
        <v>24.5</v>
      </c>
      <c r="F271" s="20" t="s">
        <v>4893</v>
      </c>
      <c r="G271" s="17" t="s">
        <v>140</v>
      </c>
      <c r="H271" s="19"/>
      <c r="I271" s="18">
        <v>5.7333333333333334</v>
      </c>
      <c r="J271" s="17" t="s">
        <v>1891</v>
      </c>
      <c r="K271" s="17" t="s">
        <v>67</v>
      </c>
      <c r="L271" s="17" t="s">
        <v>389</v>
      </c>
      <c r="M271" s="17" t="s">
        <v>3264</v>
      </c>
      <c r="N271" s="16" t="str">
        <f>HYPERLINK("http://slimages.macys.com/is/image/MCY/8330385 ")</f>
        <v xml:space="preserve">http://slimages.macys.com/is/image/MCY/8330385 </v>
      </c>
      <c r="O271" s="30"/>
    </row>
    <row r="272" spans="1:15" ht="48" x14ac:dyDescent="0.25">
      <c r="A272" s="19" t="s">
        <v>4892</v>
      </c>
      <c r="B272" s="17" t="s">
        <v>4891</v>
      </c>
      <c r="C272" s="20">
        <v>1</v>
      </c>
      <c r="D272" s="18">
        <v>8.58</v>
      </c>
      <c r="E272" s="18">
        <v>39</v>
      </c>
      <c r="F272" s="20">
        <v>2351624</v>
      </c>
      <c r="G272" s="17" t="s">
        <v>91</v>
      </c>
      <c r="H272" s="19" t="s">
        <v>313</v>
      </c>
      <c r="I272" s="18">
        <v>5.72</v>
      </c>
      <c r="J272" s="17" t="s">
        <v>80</v>
      </c>
      <c r="K272" s="17" t="s">
        <v>293</v>
      </c>
      <c r="L272" s="17"/>
      <c r="M272" s="17"/>
      <c r="N272" s="16" t="str">
        <f>HYPERLINK("http://slimages.macys.com/is/image/MCY/19684057 ")</f>
        <v xml:space="preserve">http://slimages.macys.com/is/image/MCY/19684057 </v>
      </c>
      <c r="O272" s="30"/>
    </row>
    <row r="273" spans="1:15" ht="60" x14ac:dyDescent="0.25">
      <c r="A273" s="19" t="s">
        <v>4890</v>
      </c>
      <c r="B273" s="17" t="s">
        <v>4889</v>
      </c>
      <c r="C273" s="20">
        <v>1</v>
      </c>
      <c r="D273" s="18">
        <v>7.6</v>
      </c>
      <c r="E273" s="18">
        <v>34</v>
      </c>
      <c r="F273" s="20" t="s">
        <v>4888</v>
      </c>
      <c r="G273" s="17" t="s">
        <v>4887</v>
      </c>
      <c r="H273" s="19" t="s">
        <v>62</v>
      </c>
      <c r="I273" s="18">
        <v>5.0666666666666673</v>
      </c>
      <c r="J273" s="17" t="s">
        <v>1700</v>
      </c>
      <c r="K273" s="17" t="s">
        <v>1699</v>
      </c>
      <c r="L273" s="17"/>
      <c r="M273" s="17"/>
      <c r="N273" s="16" t="str">
        <f>HYPERLINK("http://slimages.macys.com/is/image/MCY/18853744 ")</f>
        <v xml:space="preserve">http://slimages.macys.com/is/image/MCY/18853744 </v>
      </c>
      <c r="O273" s="30"/>
    </row>
    <row r="274" spans="1:15" ht="48" x14ac:dyDescent="0.25">
      <c r="A274" s="19" t="s">
        <v>4886</v>
      </c>
      <c r="B274" s="17" t="s">
        <v>4885</v>
      </c>
      <c r="C274" s="20">
        <v>1</v>
      </c>
      <c r="D274" s="18">
        <v>7.43</v>
      </c>
      <c r="E274" s="18">
        <v>20</v>
      </c>
      <c r="F274" s="20" t="s">
        <v>2459</v>
      </c>
      <c r="G274" s="17" t="s">
        <v>51</v>
      </c>
      <c r="H274" s="19" t="s">
        <v>22</v>
      </c>
      <c r="I274" s="18">
        <v>4.9533333333333331</v>
      </c>
      <c r="J274" s="17" t="s">
        <v>16</v>
      </c>
      <c r="K274" s="17" t="s">
        <v>15</v>
      </c>
      <c r="L274" s="17"/>
      <c r="M274" s="17"/>
      <c r="N274" s="16" t="str">
        <f>HYPERLINK("http://slimages.macys.com/is/image/MCY/19147497 ")</f>
        <v xml:space="preserve">http://slimages.macys.com/is/image/MCY/19147497 </v>
      </c>
      <c r="O274" s="30"/>
    </row>
    <row r="275" spans="1:15" ht="48" x14ac:dyDescent="0.25">
      <c r="A275" s="19" t="s">
        <v>2461</v>
      </c>
      <c r="B275" s="17" t="s">
        <v>2460</v>
      </c>
      <c r="C275" s="20">
        <v>1</v>
      </c>
      <c r="D275" s="18">
        <v>7.43</v>
      </c>
      <c r="E275" s="18">
        <v>20</v>
      </c>
      <c r="F275" s="20" t="s">
        <v>2459</v>
      </c>
      <c r="G275" s="17" t="s">
        <v>51</v>
      </c>
      <c r="H275" s="19" t="s">
        <v>62</v>
      </c>
      <c r="I275" s="18">
        <v>4.9533333333333331</v>
      </c>
      <c r="J275" s="17" t="s">
        <v>16</v>
      </c>
      <c r="K275" s="17" t="s">
        <v>15</v>
      </c>
      <c r="L275" s="17"/>
      <c r="M275" s="17"/>
      <c r="N275" s="16" t="str">
        <f>HYPERLINK("http://slimages.macys.com/is/image/MCY/19147497 ")</f>
        <v xml:space="preserve">http://slimages.macys.com/is/image/MCY/19147497 </v>
      </c>
      <c r="O275" s="30"/>
    </row>
    <row r="276" spans="1:15" ht="48" x14ac:dyDescent="0.25">
      <c r="A276" s="19" t="s">
        <v>4884</v>
      </c>
      <c r="B276" s="17" t="s">
        <v>4883</v>
      </c>
      <c r="C276" s="20">
        <v>1</v>
      </c>
      <c r="D276" s="18">
        <v>6.58</v>
      </c>
      <c r="E276" s="18">
        <v>20</v>
      </c>
      <c r="F276" s="20" t="s">
        <v>4882</v>
      </c>
      <c r="G276" s="17" t="s">
        <v>51</v>
      </c>
      <c r="H276" s="19" t="s">
        <v>62</v>
      </c>
      <c r="I276" s="18">
        <v>4.3866666666666667</v>
      </c>
      <c r="J276" s="17" t="s">
        <v>16</v>
      </c>
      <c r="K276" s="17" t="s">
        <v>15</v>
      </c>
      <c r="L276" s="17" t="s">
        <v>389</v>
      </c>
      <c r="M276" s="17" t="s">
        <v>1724</v>
      </c>
      <c r="N276" s="16" t="str">
        <f>HYPERLINK("http://slimages.macys.com/is/image/MCY/16635570 ")</f>
        <v xml:space="preserve">http://slimages.macys.com/is/image/MCY/16635570 </v>
      </c>
      <c r="O276" s="30"/>
    </row>
    <row r="277" spans="1:15" ht="48" x14ac:dyDescent="0.25">
      <c r="A277" s="19" t="s">
        <v>4881</v>
      </c>
      <c r="B277" s="17" t="s">
        <v>4880</v>
      </c>
      <c r="C277" s="20">
        <v>1</v>
      </c>
      <c r="D277" s="18">
        <v>87.15</v>
      </c>
      <c r="E277" s="18">
        <v>249</v>
      </c>
      <c r="F277" s="20" t="s">
        <v>4879</v>
      </c>
      <c r="G277" s="17"/>
      <c r="H277" s="19" t="s">
        <v>698</v>
      </c>
      <c r="I277" s="18">
        <v>58.1</v>
      </c>
      <c r="J277" s="17" t="s">
        <v>854</v>
      </c>
      <c r="K277" s="17" t="s">
        <v>496</v>
      </c>
      <c r="L277" s="17"/>
      <c r="M277" s="17"/>
      <c r="N277" s="16"/>
      <c r="O277" s="30"/>
    </row>
    <row r="278" spans="1:15" ht="48" x14ac:dyDescent="0.25">
      <c r="A278" s="19" t="s">
        <v>4878</v>
      </c>
      <c r="B278" s="17" t="s">
        <v>4877</v>
      </c>
      <c r="C278" s="20">
        <v>1</v>
      </c>
      <c r="D278" s="18">
        <v>87.15</v>
      </c>
      <c r="E278" s="18">
        <v>249</v>
      </c>
      <c r="F278" s="20" t="s">
        <v>4868</v>
      </c>
      <c r="G278" s="17" t="s">
        <v>237</v>
      </c>
      <c r="H278" s="19" t="s">
        <v>658</v>
      </c>
      <c r="I278" s="18">
        <v>58.1</v>
      </c>
      <c r="J278" s="17" t="s">
        <v>854</v>
      </c>
      <c r="K278" s="17" t="s">
        <v>496</v>
      </c>
      <c r="L278" s="17"/>
      <c r="M278" s="17"/>
      <c r="N278" s="16"/>
      <c r="O278" s="30"/>
    </row>
    <row r="279" spans="1:15" ht="48" x14ac:dyDescent="0.25">
      <c r="A279" s="19" t="s">
        <v>4876</v>
      </c>
      <c r="B279" s="17" t="s">
        <v>4875</v>
      </c>
      <c r="C279" s="20">
        <v>1</v>
      </c>
      <c r="D279" s="18">
        <v>87.15</v>
      </c>
      <c r="E279" s="18">
        <v>249</v>
      </c>
      <c r="F279" s="20" t="s">
        <v>943</v>
      </c>
      <c r="G279" s="17" t="s">
        <v>18</v>
      </c>
      <c r="H279" s="19" t="s">
        <v>898</v>
      </c>
      <c r="I279" s="18">
        <v>58.1</v>
      </c>
      <c r="J279" s="17" t="s">
        <v>854</v>
      </c>
      <c r="K279" s="17" t="s">
        <v>496</v>
      </c>
      <c r="L279" s="17"/>
      <c r="M279" s="17"/>
      <c r="N279" s="16"/>
      <c r="O279" s="30"/>
    </row>
    <row r="280" spans="1:15" ht="48" x14ac:dyDescent="0.25">
      <c r="A280" s="19" t="s">
        <v>942</v>
      </c>
      <c r="B280" s="17" t="s">
        <v>941</v>
      </c>
      <c r="C280" s="20">
        <v>1</v>
      </c>
      <c r="D280" s="18">
        <v>87.15</v>
      </c>
      <c r="E280" s="18">
        <v>249</v>
      </c>
      <c r="F280" s="20" t="s">
        <v>940</v>
      </c>
      <c r="G280" s="17" t="s">
        <v>51</v>
      </c>
      <c r="H280" s="19" t="s">
        <v>698</v>
      </c>
      <c r="I280" s="18">
        <v>58.1</v>
      </c>
      <c r="J280" s="17" t="s">
        <v>854</v>
      </c>
      <c r="K280" s="17" t="s">
        <v>496</v>
      </c>
      <c r="L280" s="17"/>
      <c r="M280" s="17"/>
      <c r="N280" s="16"/>
      <c r="O280" s="30"/>
    </row>
    <row r="281" spans="1:15" ht="48" x14ac:dyDescent="0.25">
      <c r="A281" s="19" t="s">
        <v>4874</v>
      </c>
      <c r="B281" s="17" t="s">
        <v>4873</v>
      </c>
      <c r="C281" s="20">
        <v>1</v>
      </c>
      <c r="D281" s="18">
        <v>87.15</v>
      </c>
      <c r="E281" s="18">
        <v>249</v>
      </c>
      <c r="F281" s="20" t="s">
        <v>940</v>
      </c>
      <c r="G281" s="17" t="s">
        <v>51</v>
      </c>
      <c r="H281" s="19" t="s">
        <v>96</v>
      </c>
      <c r="I281" s="18">
        <v>58.1</v>
      </c>
      <c r="J281" s="17" t="s">
        <v>854</v>
      </c>
      <c r="K281" s="17" t="s">
        <v>496</v>
      </c>
      <c r="L281" s="17"/>
      <c r="M281" s="17"/>
      <c r="N281" s="16"/>
      <c r="O281" s="30"/>
    </row>
    <row r="282" spans="1:15" ht="48" x14ac:dyDescent="0.25">
      <c r="A282" s="19" t="s">
        <v>4872</v>
      </c>
      <c r="B282" s="17" t="s">
        <v>4871</v>
      </c>
      <c r="C282" s="20">
        <v>1</v>
      </c>
      <c r="D282" s="18">
        <v>87.15</v>
      </c>
      <c r="E282" s="18">
        <v>249</v>
      </c>
      <c r="F282" s="20" t="s">
        <v>940</v>
      </c>
      <c r="G282" s="17" t="s">
        <v>51</v>
      </c>
      <c r="H282" s="19" t="s">
        <v>116</v>
      </c>
      <c r="I282" s="18">
        <v>58.1</v>
      </c>
      <c r="J282" s="17" t="s">
        <v>854</v>
      </c>
      <c r="K282" s="17" t="s">
        <v>496</v>
      </c>
      <c r="L282" s="17"/>
      <c r="M282" s="17"/>
      <c r="N282" s="16"/>
      <c r="O282" s="30"/>
    </row>
    <row r="283" spans="1:15" ht="48" x14ac:dyDescent="0.25">
      <c r="A283" s="19" t="s">
        <v>4870</v>
      </c>
      <c r="B283" s="17" t="s">
        <v>4869</v>
      </c>
      <c r="C283" s="20">
        <v>1</v>
      </c>
      <c r="D283" s="18">
        <v>87.15</v>
      </c>
      <c r="E283" s="18">
        <v>249</v>
      </c>
      <c r="F283" s="20" t="s">
        <v>4868</v>
      </c>
      <c r="G283" s="17" t="s">
        <v>237</v>
      </c>
      <c r="H283" s="19" t="s">
        <v>116</v>
      </c>
      <c r="I283" s="18">
        <v>58.1</v>
      </c>
      <c r="J283" s="17" t="s">
        <v>854</v>
      </c>
      <c r="K283" s="17" t="s">
        <v>496</v>
      </c>
      <c r="L283" s="17"/>
      <c r="M283" s="17"/>
      <c r="N283" s="16"/>
      <c r="O283" s="30"/>
    </row>
    <row r="284" spans="1:15" ht="48" x14ac:dyDescent="0.25">
      <c r="A284" s="19" t="s">
        <v>4867</v>
      </c>
      <c r="B284" s="17" t="s">
        <v>4866</v>
      </c>
      <c r="C284" s="20">
        <v>1</v>
      </c>
      <c r="D284" s="18">
        <v>77.19</v>
      </c>
      <c r="E284" s="18">
        <v>249</v>
      </c>
      <c r="F284" s="20" t="s">
        <v>1682</v>
      </c>
      <c r="G284" s="17" t="s">
        <v>575</v>
      </c>
      <c r="H284" s="19" t="s">
        <v>857</v>
      </c>
      <c r="I284" s="18">
        <v>51.46</v>
      </c>
      <c r="J284" s="17" t="s">
        <v>854</v>
      </c>
      <c r="K284" s="17" t="s">
        <v>496</v>
      </c>
      <c r="L284" s="17"/>
      <c r="M284" s="17"/>
      <c r="N284" s="16"/>
      <c r="O284" s="30"/>
    </row>
    <row r="285" spans="1:15" ht="48" x14ac:dyDescent="0.25">
      <c r="A285" s="19" t="s">
        <v>4865</v>
      </c>
      <c r="B285" s="17" t="s">
        <v>4864</v>
      </c>
      <c r="C285" s="20">
        <v>1</v>
      </c>
      <c r="D285" s="18">
        <v>77.19</v>
      </c>
      <c r="E285" s="18">
        <v>249</v>
      </c>
      <c r="F285" s="20" t="s">
        <v>1682</v>
      </c>
      <c r="G285" s="17" t="s">
        <v>575</v>
      </c>
      <c r="H285" s="19" t="s">
        <v>773</v>
      </c>
      <c r="I285" s="18">
        <v>51.46</v>
      </c>
      <c r="J285" s="17" t="s">
        <v>854</v>
      </c>
      <c r="K285" s="17" t="s">
        <v>496</v>
      </c>
      <c r="L285" s="17"/>
      <c r="M285" s="17"/>
      <c r="N285" s="16"/>
      <c r="O285" s="30"/>
    </row>
    <row r="286" spans="1:15" ht="48" x14ac:dyDescent="0.25">
      <c r="A286" s="19" t="s">
        <v>4863</v>
      </c>
      <c r="B286" s="17" t="s">
        <v>4862</v>
      </c>
      <c r="C286" s="20">
        <v>26</v>
      </c>
      <c r="D286" s="18">
        <v>69.650000000000006</v>
      </c>
      <c r="E286" s="18">
        <v>199</v>
      </c>
      <c r="F286" s="20" t="s">
        <v>4861</v>
      </c>
      <c r="G286" s="17" t="s">
        <v>881</v>
      </c>
      <c r="H286" s="19" t="s">
        <v>96</v>
      </c>
      <c r="I286" s="18">
        <v>46.433333333333337</v>
      </c>
      <c r="J286" s="17" t="s">
        <v>854</v>
      </c>
      <c r="K286" s="17" t="s">
        <v>496</v>
      </c>
      <c r="L286" s="17"/>
      <c r="M286" s="17"/>
      <c r="N286" s="16"/>
      <c r="O286" s="30"/>
    </row>
    <row r="287" spans="1:15" ht="48" x14ac:dyDescent="0.25">
      <c r="A287" s="19" t="s">
        <v>4860</v>
      </c>
      <c r="B287" s="17" t="s">
        <v>4859</v>
      </c>
      <c r="C287" s="20">
        <v>1</v>
      </c>
      <c r="D287" s="18">
        <v>69.650000000000006</v>
      </c>
      <c r="E287" s="18">
        <v>199</v>
      </c>
      <c r="F287" s="20" t="s">
        <v>4858</v>
      </c>
      <c r="G287" s="17" t="s">
        <v>555</v>
      </c>
      <c r="H287" s="19" t="s">
        <v>116</v>
      </c>
      <c r="I287" s="18">
        <v>46.433333333333337</v>
      </c>
      <c r="J287" s="17" t="s">
        <v>854</v>
      </c>
      <c r="K287" s="17" t="s">
        <v>496</v>
      </c>
      <c r="L287" s="17"/>
      <c r="M287" s="17"/>
      <c r="N287" s="16"/>
      <c r="O287" s="30"/>
    </row>
    <row r="288" spans="1:15" ht="48" x14ac:dyDescent="0.25">
      <c r="A288" s="19" t="s">
        <v>4857</v>
      </c>
      <c r="B288" s="17" t="s">
        <v>4856</v>
      </c>
      <c r="C288" s="20">
        <v>2</v>
      </c>
      <c r="D288" s="18">
        <v>62.65</v>
      </c>
      <c r="E288" s="18">
        <v>179</v>
      </c>
      <c r="F288" s="20" t="s">
        <v>1673</v>
      </c>
      <c r="G288" s="17" t="s">
        <v>58</v>
      </c>
      <c r="H288" s="19" t="s">
        <v>898</v>
      </c>
      <c r="I288" s="18">
        <v>41.766666666666666</v>
      </c>
      <c r="J288" s="17" t="s">
        <v>854</v>
      </c>
      <c r="K288" s="17" t="s">
        <v>496</v>
      </c>
      <c r="L288" s="17"/>
      <c r="M288" s="17"/>
      <c r="N288" s="16"/>
      <c r="O288" s="30"/>
    </row>
    <row r="289" spans="1:15" ht="48" x14ac:dyDescent="0.25">
      <c r="A289" s="19" t="s">
        <v>4855</v>
      </c>
      <c r="B289" s="17" t="s">
        <v>4854</v>
      </c>
      <c r="C289" s="20">
        <v>1</v>
      </c>
      <c r="D289" s="18">
        <v>62.65</v>
      </c>
      <c r="E289" s="18">
        <v>179</v>
      </c>
      <c r="F289" s="20" t="s">
        <v>923</v>
      </c>
      <c r="G289" s="17" t="s">
        <v>562</v>
      </c>
      <c r="H289" s="19" t="s">
        <v>773</v>
      </c>
      <c r="I289" s="18">
        <v>41.766666666666666</v>
      </c>
      <c r="J289" s="17" t="s">
        <v>854</v>
      </c>
      <c r="K289" s="17" t="s">
        <v>496</v>
      </c>
      <c r="L289" s="17"/>
      <c r="M289" s="17"/>
      <c r="N289" s="16"/>
      <c r="O289" s="30"/>
    </row>
    <row r="290" spans="1:15" ht="48" x14ac:dyDescent="0.25">
      <c r="A290" s="19" t="s">
        <v>4853</v>
      </c>
      <c r="B290" s="17" t="s">
        <v>4852</v>
      </c>
      <c r="C290" s="20">
        <v>3</v>
      </c>
      <c r="D290" s="18">
        <v>62.65</v>
      </c>
      <c r="E290" s="18">
        <v>179</v>
      </c>
      <c r="F290" s="20" t="s">
        <v>1673</v>
      </c>
      <c r="G290" s="17" t="s">
        <v>58</v>
      </c>
      <c r="H290" s="19" t="s">
        <v>773</v>
      </c>
      <c r="I290" s="18">
        <v>41.766666666666666</v>
      </c>
      <c r="J290" s="17" t="s">
        <v>854</v>
      </c>
      <c r="K290" s="17" t="s">
        <v>496</v>
      </c>
      <c r="L290" s="17"/>
      <c r="M290" s="17"/>
      <c r="N290" s="16"/>
      <c r="O290" s="30"/>
    </row>
    <row r="291" spans="1:15" ht="48" x14ac:dyDescent="0.25">
      <c r="A291" s="19" t="s">
        <v>4851</v>
      </c>
      <c r="B291" s="17" t="s">
        <v>4850</v>
      </c>
      <c r="C291" s="20">
        <v>46</v>
      </c>
      <c r="D291" s="18">
        <v>48</v>
      </c>
      <c r="E291" s="18">
        <v>99.99</v>
      </c>
      <c r="F291" s="20">
        <v>50039197</v>
      </c>
      <c r="G291" s="17" t="s">
        <v>51</v>
      </c>
      <c r="H291" s="19" t="s">
        <v>1191</v>
      </c>
      <c r="I291" s="18">
        <v>32</v>
      </c>
      <c r="J291" s="17" t="s">
        <v>879</v>
      </c>
      <c r="K291" s="17" t="s">
        <v>850</v>
      </c>
      <c r="L291" s="17"/>
      <c r="M291" s="17"/>
      <c r="N291" s="16"/>
      <c r="O291" s="30"/>
    </row>
    <row r="292" spans="1:15" ht="48" x14ac:dyDescent="0.25">
      <c r="A292" s="19" t="s">
        <v>4849</v>
      </c>
      <c r="B292" s="17" t="s">
        <v>4848</v>
      </c>
      <c r="C292" s="20">
        <v>1</v>
      </c>
      <c r="D292" s="18">
        <v>48</v>
      </c>
      <c r="E292" s="18">
        <v>109.99</v>
      </c>
      <c r="F292" s="20">
        <v>50039817</v>
      </c>
      <c r="G292" s="17" t="s">
        <v>28</v>
      </c>
      <c r="H292" s="19" t="s">
        <v>1191</v>
      </c>
      <c r="I292" s="18">
        <v>32</v>
      </c>
      <c r="J292" s="17" t="s">
        <v>879</v>
      </c>
      <c r="K292" s="17" t="s">
        <v>850</v>
      </c>
      <c r="L292" s="17"/>
      <c r="M292" s="17"/>
      <c r="N292" s="16"/>
      <c r="O292" s="30"/>
    </row>
    <row r="293" spans="1:15" ht="48" x14ac:dyDescent="0.25">
      <c r="A293" s="19" t="s">
        <v>4847</v>
      </c>
      <c r="B293" s="17" t="s">
        <v>4846</v>
      </c>
      <c r="C293" s="20">
        <v>1</v>
      </c>
      <c r="D293" s="18">
        <v>48</v>
      </c>
      <c r="E293" s="18">
        <v>99.99</v>
      </c>
      <c r="F293" s="20">
        <v>50039197</v>
      </c>
      <c r="G293" s="17" t="s">
        <v>51</v>
      </c>
      <c r="H293" s="19"/>
      <c r="I293" s="18">
        <v>32</v>
      </c>
      <c r="J293" s="17" t="s">
        <v>879</v>
      </c>
      <c r="K293" s="17" t="s">
        <v>850</v>
      </c>
      <c r="L293" s="17"/>
      <c r="M293" s="17"/>
      <c r="N293" s="16"/>
      <c r="O293" s="30"/>
    </row>
    <row r="294" spans="1:15" ht="48" x14ac:dyDescent="0.25">
      <c r="A294" s="19" t="s">
        <v>911</v>
      </c>
      <c r="B294" s="17" t="s">
        <v>910</v>
      </c>
      <c r="C294" s="20">
        <v>1</v>
      </c>
      <c r="D294" s="18">
        <v>46</v>
      </c>
      <c r="E294" s="18">
        <v>109.99</v>
      </c>
      <c r="F294" s="20">
        <v>50039983</v>
      </c>
      <c r="G294" s="17" t="s">
        <v>28</v>
      </c>
      <c r="H294" s="19" t="s">
        <v>698</v>
      </c>
      <c r="I294" s="18">
        <v>30.666666666666664</v>
      </c>
      <c r="J294" s="17" t="s">
        <v>854</v>
      </c>
      <c r="K294" s="17" t="s">
        <v>850</v>
      </c>
      <c r="L294" s="17"/>
      <c r="M294" s="17"/>
      <c r="N294" s="16"/>
      <c r="O294" s="30"/>
    </row>
    <row r="295" spans="1:15" ht="48" x14ac:dyDescent="0.25">
      <c r="A295" s="19" t="s">
        <v>4845</v>
      </c>
      <c r="B295" s="17" t="s">
        <v>4844</v>
      </c>
      <c r="C295" s="20">
        <v>1</v>
      </c>
      <c r="D295" s="18">
        <v>43</v>
      </c>
      <c r="E295" s="18">
        <v>99.99</v>
      </c>
      <c r="F295" s="20">
        <v>50039417</v>
      </c>
      <c r="G295" s="17" t="s">
        <v>91</v>
      </c>
      <c r="H295" s="19" t="s">
        <v>1292</v>
      </c>
      <c r="I295" s="18">
        <v>28.666666666666668</v>
      </c>
      <c r="J295" s="17" t="s">
        <v>879</v>
      </c>
      <c r="K295" s="17" t="s">
        <v>850</v>
      </c>
      <c r="L295" s="17"/>
      <c r="M295" s="17"/>
      <c r="N295" s="16"/>
      <c r="O295" s="30"/>
    </row>
    <row r="296" spans="1:15" ht="48" x14ac:dyDescent="0.25">
      <c r="A296" s="19" t="s">
        <v>4843</v>
      </c>
      <c r="B296" s="17" t="s">
        <v>4842</v>
      </c>
      <c r="C296" s="20">
        <v>1</v>
      </c>
      <c r="D296" s="18">
        <v>40</v>
      </c>
      <c r="E296" s="18">
        <v>89.99</v>
      </c>
      <c r="F296" s="20">
        <v>50039919</v>
      </c>
      <c r="G296" s="17" t="s">
        <v>51</v>
      </c>
      <c r="H296" s="19" t="s">
        <v>898</v>
      </c>
      <c r="I296" s="18">
        <v>26.666666666666668</v>
      </c>
      <c r="J296" s="17" t="s">
        <v>854</v>
      </c>
      <c r="K296" s="17" t="s">
        <v>850</v>
      </c>
      <c r="L296" s="17"/>
      <c r="M296" s="17"/>
      <c r="N296" s="16"/>
      <c r="O296" s="30"/>
    </row>
    <row r="297" spans="1:15" ht="48" x14ac:dyDescent="0.25">
      <c r="A297" s="19" t="s">
        <v>4841</v>
      </c>
      <c r="B297" s="17" t="s">
        <v>4840</v>
      </c>
      <c r="C297" s="20">
        <v>1</v>
      </c>
      <c r="D297" s="18">
        <v>40</v>
      </c>
      <c r="E297" s="18">
        <v>89.99</v>
      </c>
      <c r="F297" s="20">
        <v>50039783</v>
      </c>
      <c r="G297" s="17" t="s">
        <v>51</v>
      </c>
      <c r="H297" s="19" t="s">
        <v>96</v>
      </c>
      <c r="I297" s="18">
        <v>26.666666666666668</v>
      </c>
      <c r="J297" s="17" t="s">
        <v>854</v>
      </c>
      <c r="K297" s="17" t="s">
        <v>850</v>
      </c>
      <c r="L297" s="17"/>
      <c r="M297" s="17"/>
      <c r="N297" s="16"/>
      <c r="O297" s="30"/>
    </row>
    <row r="298" spans="1:15" ht="48" x14ac:dyDescent="0.25">
      <c r="A298" s="19" t="s">
        <v>889</v>
      </c>
      <c r="B298" s="17" t="s">
        <v>888</v>
      </c>
      <c r="C298" s="20">
        <v>2</v>
      </c>
      <c r="D298" s="18">
        <v>40</v>
      </c>
      <c r="E298" s="18">
        <v>89.99</v>
      </c>
      <c r="F298" s="20">
        <v>50039919</v>
      </c>
      <c r="G298" s="17" t="s">
        <v>282</v>
      </c>
      <c r="H298" s="19" t="s">
        <v>773</v>
      </c>
      <c r="I298" s="18">
        <v>26.666666666666668</v>
      </c>
      <c r="J298" s="17" t="s">
        <v>854</v>
      </c>
      <c r="K298" s="17" t="s">
        <v>850</v>
      </c>
      <c r="L298" s="17"/>
      <c r="M298" s="17"/>
      <c r="N298" s="16"/>
      <c r="O298" s="30"/>
    </row>
    <row r="299" spans="1:15" ht="48" x14ac:dyDescent="0.25">
      <c r="A299" s="19" t="s">
        <v>4839</v>
      </c>
      <c r="B299" s="17" t="s">
        <v>4838</v>
      </c>
      <c r="C299" s="20">
        <v>1</v>
      </c>
      <c r="D299" s="18">
        <v>40</v>
      </c>
      <c r="E299" s="18">
        <v>89.99</v>
      </c>
      <c r="F299" s="20">
        <v>50039783</v>
      </c>
      <c r="G299" s="17" t="s">
        <v>51</v>
      </c>
      <c r="H299" s="19" t="s">
        <v>116</v>
      </c>
      <c r="I299" s="18">
        <v>26.666666666666668</v>
      </c>
      <c r="J299" s="17" t="s">
        <v>854</v>
      </c>
      <c r="K299" s="17" t="s">
        <v>850</v>
      </c>
      <c r="L299" s="17"/>
      <c r="M299" s="17"/>
      <c r="N299" s="16"/>
      <c r="O299" s="30"/>
    </row>
    <row r="300" spans="1:15" ht="48" x14ac:dyDescent="0.25">
      <c r="A300" s="19" t="s">
        <v>4837</v>
      </c>
      <c r="B300" s="17" t="s">
        <v>4836</v>
      </c>
      <c r="C300" s="20">
        <v>1</v>
      </c>
      <c r="D300" s="18">
        <v>39</v>
      </c>
      <c r="E300" s="18">
        <v>99.99</v>
      </c>
      <c r="F300" s="20">
        <v>50039405</v>
      </c>
      <c r="G300" s="17" t="s">
        <v>28</v>
      </c>
      <c r="H300" s="19" t="s">
        <v>1191</v>
      </c>
      <c r="I300" s="18">
        <v>26</v>
      </c>
      <c r="J300" s="17" t="s">
        <v>879</v>
      </c>
      <c r="K300" s="17" t="s">
        <v>850</v>
      </c>
      <c r="L300" s="17"/>
      <c r="M300" s="17"/>
      <c r="N300" s="16"/>
      <c r="O300" s="30"/>
    </row>
    <row r="301" spans="1:15" ht="48" x14ac:dyDescent="0.25">
      <c r="A301" s="19" t="s">
        <v>4835</v>
      </c>
      <c r="B301" s="17" t="s">
        <v>4834</v>
      </c>
      <c r="C301" s="20">
        <v>1</v>
      </c>
      <c r="D301" s="18">
        <v>36</v>
      </c>
      <c r="E301" s="18">
        <v>99.99</v>
      </c>
      <c r="F301" s="20">
        <v>50039293</v>
      </c>
      <c r="G301" s="17" t="s">
        <v>535</v>
      </c>
      <c r="H301" s="19" t="s">
        <v>1445</v>
      </c>
      <c r="I301" s="18">
        <v>24</v>
      </c>
      <c r="J301" s="17" t="s">
        <v>879</v>
      </c>
      <c r="K301" s="17" t="s">
        <v>850</v>
      </c>
      <c r="L301" s="17"/>
      <c r="M301" s="17"/>
      <c r="N301" s="16"/>
      <c r="O301" s="30"/>
    </row>
    <row r="302" spans="1:15" ht="48" x14ac:dyDescent="0.25">
      <c r="A302" s="19" t="s">
        <v>4833</v>
      </c>
      <c r="B302" s="17" t="s">
        <v>4832</v>
      </c>
      <c r="C302" s="20">
        <v>1</v>
      </c>
      <c r="D302" s="18">
        <v>35</v>
      </c>
      <c r="E302" s="18">
        <v>89.99</v>
      </c>
      <c r="F302" s="20">
        <v>50039691</v>
      </c>
      <c r="G302" s="17" t="s">
        <v>555</v>
      </c>
      <c r="H302" s="19" t="s">
        <v>857</v>
      </c>
      <c r="I302" s="18">
        <v>23.333333333333336</v>
      </c>
      <c r="J302" s="17" t="s">
        <v>854</v>
      </c>
      <c r="K302" s="17" t="s">
        <v>850</v>
      </c>
      <c r="L302" s="17"/>
      <c r="M302" s="17"/>
      <c r="N302" s="16"/>
      <c r="O302" s="30"/>
    </row>
    <row r="303" spans="1:15" ht="48" x14ac:dyDescent="0.25">
      <c r="A303" s="19" t="s">
        <v>867</v>
      </c>
      <c r="B303" s="17" t="s">
        <v>866</v>
      </c>
      <c r="C303" s="20">
        <v>1</v>
      </c>
      <c r="D303" s="18">
        <v>35</v>
      </c>
      <c r="E303" s="18">
        <v>79.989999999999995</v>
      </c>
      <c r="F303" s="20">
        <v>50039411</v>
      </c>
      <c r="G303" s="17" t="s">
        <v>575</v>
      </c>
      <c r="H303" s="19" t="s">
        <v>773</v>
      </c>
      <c r="I303" s="18">
        <v>23.333333333333336</v>
      </c>
      <c r="J303" s="17" t="s">
        <v>854</v>
      </c>
      <c r="K303" s="17" t="s">
        <v>850</v>
      </c>
      <c r="L303" s="17"/>
      <c r="M303" s="17"/>
      <c r="N303" s="16"/>
      <c r="O303" s="30"/>
    </row>
    <row r="304" spans="1:15" ht="48" x14ac:dyDescent="0.25">
      <c r="A304" s="19" t="s">
        <v>861</v>
      </c>
      <c r="B304" s="17" t="s">
        <v>860</v>
      </c>
      <c r="C304" s="20">
        <v>1</v>
      </c>
      <c r="D304" s="18">
        <v>35</v>
      </c>
      <c r="E304" s="18">
        <v>89.99</v>
      </c>
      <c r="F304" s="20">
        <v>50039647</v>
      </c>
      <c r="G304" s="17" t="s">
        <v>726</v>
      </c>
      <c r="H304" s="19" t="s">
        <v>116</v>
      </c>
      <c r="I304" s="18">
        <v>23.333333333333336</v>
      </c>
      <c r="J304" s="17" t="s">
        <v>854</v>
      </c>
      <c r="K304" s="17" t="s">
        <v>850</v>
      </c>
      <c r="L304" s="17"/>
      <c r="M304" s="17"/>
      <c r="N304" s="16"/>
      <c r="O304" s="30"/>
    </row>
    <row r="305" spans="1:15" ht="48" x14ac:dyDescent="0.25">
      <c r="A305" s="19" t="s">
        <v>4831</v>
      </c>
      <c r="B305" s="17" t="s">
        <v>4830</v>
      </c>
      <c r="C305" s="20">
        <v>1</v>
      </c>
      <c r="D305" s="18">
        <v>35</v>
      </c>
      <c r="E305" s="18">
        <v>89.99</v>
      </c>
      <c r="F305" s="20">
        <v>50039628</v>
      </c>
      <c r="G305" s="17" t="s">
        <v>18</v>
      </c>
      <c r="H305" s="19" t="s">
        <v>669</v>
      </c>
      <c r="I305" s="18">
        <v>23.333333333333336</v>
      </c>
      <c r="J305" s="17" t="s">
        <v>851</v>
      </c>
      <c r="K305" s="17" t="s">
        <v>850</v>
      </c>
      <c r="L305" s="17"/>
      <c r="M305" s="17"/>
      <c r="N305" s="16"/>
      <c r="O305" s="30"/>
    </row>
    <row r="306" spans="1:15" ht="48" x14ac:dyDescent="0.25">
      <c r="A306" s="19" t="s">
        <v>4829</v>
      </c>
      <c r="B306" s="17" t="s">
        <v>4828</v>
      </c>
      <c r="C306" s="20">
        <v>1</v>
      </c>
      <c r="D306" s="18">
        <v>35</v>
      </c>
      <c r="E306" s="18">
        <v>89.99</v>
      </c>
      <c r="F306" s="20">
        <v>50039672</v>
      </c>
      <c r="G306" s="17" t="s">
        <v>28</v>
      </c>
      <c r="H306" s="19" t="s">
        <v>4021</v>
      </c>
      <c r="I306" s="18">
        <v>23.333333333333336</v>
      </c>
      <c r="J306" s="17" t="s">
        <v>851</v>
      </c>
      <c r="K306" s="17" t="s">
        <v>850</v>
      </c>
      <c r="L306" s="17"/>
      <c r="M306" s="17"/>
      <c r="N306" s="16"/>
      <c r="O306" s="30"/>
    </row>
    <row r="307" spans="1:15" ht="48" x14ac:dyDescent="0.25">
      <c r="A307" s="19" t="s">
        <v>4827</v>
      </c>
      <c r="B307" s="17" t="s">
        <v>4826</v>
      </c>
      <c r="C307" s="20">
        <v>1</v>
      </c>
      <c r="D307" s="18">
        <v>35</v>
      </c>
      <c r="E307" s="18">
        <v>89.99</v>
      </c>
      <c r="F307" s="20">
        <v>50039452</v>
      </c>
      <c r="G307" s="17" t="s">
        <v>881</v>
      </c>
      <c r="H307" s="19" t="s">
        <v>1155</v>
      </c>
      <c r="I307" s="18">
        <v>23.333333333333336</v>
      </c>
      <c r="J307" s="17" t="s">
        <v>851</v>
      </c>
      <c r="K307" s="17" t="s">
        <v>850</v>
      </c>
      <c r="L307" s="17"/>
      <c r="M307" s="17"/>
      <c r="N307" s="16"/>
      <c r="O307" s="30"/>
    </row>
    <row r="308" spans="1:15" ht="48" x14ac:dyDescent="0.25">
      <c r="A308" s="19" t="s">
        <v>4825</v>
      </c>
      <c r="B308" s="17" t="s">
        <v>4824</v>
      </c>
      <c r="C308" s="20">
        <v>1</v>
      </c>
      <c r="D308" s="18">
        <v>30</v>
      </c>
      <c r="E308" s="18">
        <v>89</v>
      </c>
      <c r="F308" s="20" t="s">
        <v>4823</v>
      </c>
      <c r="G308" s="17" t="s">
        <v>345</v>
      </c>
      <c r="H308" s="19" t="s">
        <v>658</v>
      </c>
      <c r="I308" s="18">
        <v>20</v>
      </c>
      <c r="J308" s="17" t="s">
        <v>820</v>
      </c>
      <c r="K308" s="17" t="s">
        <v>67</v>
      </c>
      <c r="L308" s="17"/>
      <c r="M308" s="17"/>
      <c r="N308" s="16"/>
      <c r="O308" s="30"/>
    </row>
    <row r="309" spans="1:15" ht="48" x14ac:dyDescent="0.25">
      <c r="A309" s="19" t="s">
        <v>4822</v>
      </c>
      <c r="B309" s="17" t="s">
        <v>4821</v>
      </c>
      <c r="C309" s="20">
        <v>1</v>
      </c>
      <c r="D309" s="18">
        <v>30</v>
      </c>
      <c r="E309" s="18">
        <v>99.99</v>
      </c>
      <c r="F309" s="20">
        <v>50038279</v>
      </c>
      <c r="G309" s="17" t="s">
        <v>535</v>
      </c>
      <c r="H309" s="19" t="s">
        <v>898</v>
      </c>
      <c r="I309" s="18">
        <v>20</v>
      </c>
      <c r="J309" s="17" t="s">
        <v>854</v>
      </c>
      <c r="K309" s="17" t="s">
        <v>850</v>
      </c>
      <c r="L309" s="17"/>
      <c r="M309" s="17"/>
      <c r="N309" s="16"/>
      <c r="O309" s="30"/>
    </row>
    <row r="310" spans="1:15" ht="48" x14ac:dyDescent="0.25">
      <c r="A310" s="19" t="s">
        <v>827</v>
      </c>
      <c r="B310" s="17" t="s">
        <v>825</v>
      </c>
      <c r="C310" s="20">
        <v>1</v>
      </c>
      <c r="D310" s="18">
        <v>22.12</v>
      </c>
      <c r="E310" s="18">
        <v>79</v>
      </c>
      <c r="F310" s="20" t="s">
        <v>824</v>
      </c>
      <c r="G310" s="17" t="s">
        <v>575</v>
      </c>
      <c r="H310" s="19" t="s">
        <v>69</v>
      </c>
      <c r="I310" s="18">
        <v>14.746666666666668</v>
      </c>
      <c r="J310" s="17" t="s">
        <v>820</v>
      </c>
      <c r="K310" s="17" t="s">
        <v>67</v>
      </c>
      <c r="L310" s="17"/>
      <c r="M310" s="17"/>
      <c r="N310" s="16"/>
      <c r="O310" s="30"/>
    </row>
    <row r="311" spans="1:15" ht="48" x14ac:dyDescent="0.25">
      <c r="A311" s="19" t="s">
        <v>826</v>
      </c>
      <c r="B311" s="17" t="s">
        <v>825</v>
      </c>
      <c r="C311" s="20">
        <v>1</v>
      </c>
      <c r="D311" s="18">
        <v>22.12</v>
      </c>
      <c r="E311" s="18">
        <v>79</v>
      </c>
      <c r="F311" s="20" t="s">
        <v>824</v>
      </c>
      <c r="G311" s="17" t="s">
        <v>575</v>
      </c>
      <c r="H311" s="19" t="s">
        <v>74</v>
      </c>
      <c r="I311" s="18">
        <v>14.746666666666668</v>
      </c>
      <c r="J311" s="17" t="s">
        <v>820</v>
      </c>
      <c r="K311" s="17" t="s">
        <v>67</v>
      </c>
      <c r="L311" s="17"/>
      <c r="M311" s="17"/>
      <c r="N311" s="16"/>
      <c r="O311" s="30"/>
    </row>
    <row r="312" spans="1:15" ht="48" x14ac:dyDescent="0.25">
      <c r="A312" s="19" t="s">
        <v>828</v>
      </c>
      <c r="B312" s="17" t="s">
        <v>825</v>
      </c>
      <c r="C312" s="20">
        <v>1</v>
      </c>
      <c r="D312" s="18">
        <v>22.12</v>
      </c>
      <c r="E312" s="18">
        <v>79</v>
      </c>
      <c r="F312" s="20" t="s">
        <v>824</v>
      </c>
      <c r="G312" s="17" t="s">
        <v>575</v>
      </c>
      <c r="H312" s="19" t="s">
        <v>57</v>
      </c>
      <c r="I312" s="18">
        <v>14.746666666666668</v>
      </c>
      <c r="J312" s="17" t="s">
        <v>820</v>
      </c>
      <c r="K312" s="17" t="s">
        <v>67</v>
      </c>
      <c r="L312" s="17"/>
      <c r="M312" s="17"/>
      <c r="N312" s="16"/>
      <c r="O312" s="30"/>
    </row>
    <row r="313" spans="1:15" ht="36" x14ac:dyDescent="0.25">
      <c r="A313" s="19" t="s">
        <v>4820</v>
      </c>
      <c r="B313" s="17" t="s">
        <v>2440</v>
      </c>
      <c r="C313" s="20">
        <v>1</v>
      </c>
      <c r="D313" s="18">
        <v>17.8</v>
      </c>
      <c r="E313" s="18">
        <v>89</v>
      </c>
      <c r="F313" s="20" t="s">
        <v>2439</v>
      </c>
      <c r="G313" s="17" t="s">
        <v>51</v>
      </c>
      <c r="H313" s="19" t="s">
        <v>698</v>
      </c>
      <c r="I313" s="18">
        <v>11.866666666666667</v>
      </c>
      <c r="J313" s="17" t="s">
        <v>678</v>
      </c>
      <c r="K313" s="17" t="s">
        <v>404</v>
      </c>
      <c r="L313" s="17"/>
      <c r="M313" s="17"/>
      <c r="N313" s="16"/>
      <c r="O313" s="30"/>
    </row>
    <row r="314" spans="1:15" x14ac:dyDescent="0.25">
      <c r="A314" s="19" t="s">
        <v>4819</v>
      </c>
      <c r="B314" s="17" t="s">
        <v>4818</v>
      </c>
      <c r="C314" s="20">
        <v>1</v>
      </c>
      <c r="D314" s="18">
        <v>16.22</v>
      </c>
      <c r="E314" s="18">
        <v>49</v>
      </c>
      <c r="F314" s="20" t="s">
        <v>4817</v>
      </c>
      <c r="G314" s="17" t="s">
        <v>1536</v>
      </c>
      <c r="H314" s="19" t="s">
        <v>17</v>
      </c>
      <c r="I314" s="18">
        <v>10.813333333333334</v>
      </c>
      <c r="J314" s="17" t="s">
        <v>49</v>
      </c>
      <c r="K314" s="17" t="s">
        <v>48</v>
      </c>
      <c r="L314" s="17"/>
      <c r="M314" s="17"/>
      <c r="N314" s="16"/>
      <c r="O314" s="30"/>
    </row>
    <row r="315" spans="1:15" ht="24" x14ac:dyDescent="0.25">
      <c r="A315" s="19" t="s">
        <v>3113</v>
      </c>
      <c r="B315" s="17" t="s">
        <v>3112</v>
      </c>
      <c r="C315" s="20">
        <v>2</v>
      </c>
      <c r="D315" s="18">
        <v>14.7</v>
      </c>
      <c r="E315" s="18">
        <v>59.25</v>
      </c>
      <c r="F315" s="20">
        <v>10675496</v>
      </c>
      <c r="G315" s="17" t="s">
        <v>51</v>
      </c>
      <c r="H315" s="19" t="s">
        <v>139</v>
      </c>
      <c r="I315" s="18">
        <v>9.8000000000000007</v>
      </c>
      <c r="J315" s="17" t="s">
        <v>358</v>
      </c>
      <c r="K315" s="17" t="s">
        <v>143</v>
      </c>
      <c r="L315" s="17"/>
      <c r="M315" s="17"/>
      <c r="N315" s="16"/>
      <c r="O315" s="30"/>
    </row>
    <row r="316" spans="1:15" ht="24" x14ac:dyDescent="0.25">
      <c r="A316" s="19" t="s">
        <v>4816</v>
      </c>
      <c r="B316" s="17" t="s">
        <v>3112</v>
      </c>
      <c r="C316" s="20">
        <v>1</v>
      </c>
      <c r="D316" s="18">
        <v>14.7</v>
      </c>
      <c r="E316" s="18">
        <v>59.25</v>
      </c>
      <c r="F316" s="20">
        <v>10675496</v>
      </c>
      <c r="G316" s="17" t="s">
        <v>51</v>
      </c>
      <c r="H316" s="19" t="s">
        <v>351</v>
      </c>
      <c r="I316" s="18">
        <v>9.8000000000000007</v>
      </c>
      <c r="J316" s="17" t="s">
        <v>358</v>
      </c>
      <c r="K316" s="17" t="s">
        <v>143</v>
      </c>
      <c r="L316" s="17"/>
      <c r="M316" s="17"/>
      <c r="N316" s="16"/>
      <c r="O316" s="30"/>
    </row>
    <row r="317" spans="1:15" ht="48" x14ac:dyDescent="0.25">
      <c r="A317" s="19" t="s">
        <v>4815</v>
      </c>
      <c r="B317" s="17" t="s">
        <v>4814</v>
      </c>
      <c r="C317" s="20">
        <v>24</v>
      </c>
      <c r="D317" s="18">
        <v>13.42</v>
      </c>
      <c r="E317" s="18">
        <v>34.299999999999997</v>
      </c>
      <c r="F317" s="20" t="s">
        <v>1617</v>
      </c>
      <c r="G317" s="17" t="s">
        <v>433</v>
      </c>
      <c r="H317" s="19" t="s">
        <v>74</v>
      </c>
      <c r="I317" s="18">
        <v>8.9466666666666672</v>
      </c>
      <c r="J317" s="17" t="s">
        <v>42</v>
      </c>
      <c r="K317" s="17" t="s">
        <v>41</v>
      </c>
      <c r="L317" s="17"/>
      <c r="M317" s="17"/>
      <c r="N317" s="16"/>
      <c r="O317" s="30"/>
    </row>
  </sheetData>
  <pageMargins left="0.5" right="0.5" top="0.25" bottom="0.25" header="0.3" footer="0.3"/>
  <pageSetup scale="65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N416"/>
  <sheetViews>
    <sheetView workbookViewId="0">
      <selection activeCell="K2" sqref="K2"/>
    </sheetView>
  </sheetViews>
  <sheetFormatPr defaultRowHeight="15" x14ac:dyDescent="0.25"/>
  <cols>
    <col min="1" max="1" width="14.140625" style="15" bestFit="1" customWidth="1"/>
    <col min="2" max="2" width="48" style="15" customWidth="1"/>
    <col min="3" max="3" width="12.42578125" style="15" bestFit="1" customWidth="1"/>
    <col min="4" max="4" width="8.7109375" style="15" bestFit="1" customWidth="1"/>
    <col min="5" max="5" width="16.140625" style="15" bestFit="1" customWidth="1"/>
    <col min="6" max="6" width="13.28515625" style="15" bestFit="1" customWidth="1"/>
    <col min="7" max="7" width="10.28515625" style="15" customWidth="1"/>
    <col min="8" max="8" width="11.7109375" style="15" bestFit="1" customWidth="1"/>
    <col min="9" max="11" width="11.42578125" style="15" customWidth="1"/>
    <col min="12" max="12" width="7.42578125" style="15" customWidth="1"/>
    <col min="13" max="13" width="10.85546875" style="15" customWidth="1"/>
    <col min="14" max="14" width="12.140625" style="15" customWidth="1"/>
    <col min="15" max="15" width="36.5703125" style="15" bestFit="1" customWidth="1"/>
    <col min="16" max="17" width="20.7109375" style="15" customWidth="1"/>
    <col min="18" max="18" width="64.28515625" style="15" customWidth="1"/>
    <col min="19" max="16384" width="9.140625" style="15"/>
  </cols>
  <sheetData>
    <row r="1" spans="1:14" ht="36" x14ac:dyDescent="0.25">
      <c r="A1" s="43" t="s">
        <v>2</v>
      </c>
      <c r="B1" s="43" t="s">
        <v>3</v>
      </c>
      <c r="C1" s="43" t="s">
        <v>5</v>
      </c>
      <c r="D1" s="43" t="s">
        <v>817</v>
      </c>
      <c r="E1" s="43" t="s">
        <v>7</v>
      </c>
      <c r="F1" s="43" t="s">
        <v>816</v>
      </c>
      <c r="G1" s="43" t="s">
        <v>815</v>
      </c>
      <c r="H1" s="43" t="s">
        <v>814</v>
      </c>
      <c r="I1" s="43" t="s">
        <v>10</v>
      </c>
      <c r="J1" s="43"/>
      <c r="K1" s="43"/>
    </row>
    <row r="2" spans="1:14" ht="36" x14ac:dyDescent="0.25">
      <c r="A2" s="17" t="s">
        <v>14</v>
      </c>
      <c r="B2" s="32">
        <v>13945369</v>
      </c>
      <c r="C2" s="17" t="s">
        <v>11</v>
      </c>
      <c r="D2" s="17" t="s">
        <v>813</v>
      </c>
      <c r="E2" s="20">
        <v>1</v>
      </c>
      <c r="F2" s="20">
        <v>4</v>
      </c>
      <c r="G2" s="17">
        <v>570</v>
      </c>
      <c r="H2" s="18">
        <v>61049.22</v>
      </c>
      <c r="I2" s="17">
        <v>741</v>
      </c>
      <c r="J2" s="33"/>
      <c r="K2" s="33"/>
      <c r="L2" s="30"/>
      <c r="M2" s="30"/>
    </row>
    <row r="3" spans="1:14" x14ac:dyDescent="0.25">
      <c r="A3" s="23"/>
      <c r="B3" s="25"/>
      <c r="C3" s="23"/>
      <c r="D3" s="23"/>
      <c r="E3" s="25"/>
      <c r="F3" s="25"/>
      <c r="G3" s="23"/>
      <c r="H3" s="22"/>
      <c r="I3" s="23"/>
      <c r="J3" s="22"/>
      <c r="K3" s="22"/>
    </row>
    <row r="4" spans="1:14" s="21" customFormat="1" x14ac:dyDescent="0.25"/>
    <row r="5" spans="1:14" x14ac:dyDescent="0.25">
      <c r="A5" s="1"/>
      <c r="B5" s="1"/>
      <c r="C5" s="1"/>
      <c r="D5" s="1"/>
    </row>
    <row r="6" spans="1:14" x14ac:dyDescent="0.25">
      <c r="A6" s="24"/>
      <c r="B6" s="23"/>
      <c r="C6" s="22"/>
      <c r="D6" s="22"/>
    </row>
    <row r="7" spans="1:14" s="21" customFormat="1" x14ac:dyDescent="0.25"/>
    <row r="8" spans="1:14" ht="36" x14ac:dyDescent="0.25">
      <c r="A8" s="43" t="s">
        <v>812</v>
      </c>
      <c r="B8" s="43" t="s">
        <v>811</v>
      </c>
      <c r="C8" s="43" t="s">
        <v>810</v>
      </c>
      <c r="D8" s="43" t="s">
        <v>9</v>
      </c>
      <c r="E8" s="43" t="s">
        <v>809</v>
      </c>
      <c r="F8" s="43" t="s">
        <v>808</v>
      </c>
      <c r="G8" s="43" t="s">
        <v>807</v>
      </c>
      <c r="H8" s="43" t="s">
        <v>806</v>
      </c>
      <c r="I8" s="43" t="s">
        <v>805</v>
      </c>
      <c r="J8" s="43" t="s">
        <v>804</v>
      </c>
      <c r="K8" s="43" t="s">
        <v>803</v>
      </c>
      <c r="L8" s="43" t="s">
        <v>802</v>
      </c>
      <c r="M8" s="43" t="s">
        <v>801</v>
      </c>
    </row>
    <row r="9" spans="1:14" ht="60" x14ac:dyDescent="0.25">
      <c r="A9" s="19" t="s">
        <v>6200</v>
      </c>
      <c r="B9" s="17" t="s">
        <v>6199</v>
      </c>
      <c r="C9" s="20">
        <v>1</v>
      </c>
      <c r="D9" s="18">
        <v>495</v>
      </c>
      <c r="E9" s="20">
        <v>322623182000010</v>
      </c>
      <c r="F9" s="17" t="s">
        <v>339</v>
      </c>
      <c r="G9" s="19" t="s">
        <v>96</v>
      </c>
      <c r="H9" s="18">
        <v>137.33333333333334</v>
      </c>
      <c r="I9" s="17" t="s">
        <v>158</v>
      </c>
      <c r="J9" s="17" t="s">
        <v>946</v>
      </c>
      <c r="K9" s="17"/>
      <c r="L9" s="17"/>
      <c r="M9" s="16" t="str">
        <f>HYPERLINK("http://slimages.macys.com/is/image/MCY/19181234 ")</f>
        <v xml:space="preserve">http://slimages.macys.com/is/image/MCY/19181234 </v>
      </c>
      <c r="N9" s="30"/>
    </row>
    <row r="10" spans="1:14" ht="60" x14ac:dyDescent="0.25">
      <c r="A10" s="19" t="s">
        <v>6198</v>
      </c>
      <c r="B10" s="17" t="s">
        <v>6197</v>
      </c>
      <c r="C10" s="20">
        <v>2</v>
      </c>
      <c r="D10" s="18">
        <v>495</v>
      </c>
      <c r="E10" s="20">
        <v>522124116000010</v>
      </c>
      <c r="F10" s="17" t="s">
        <v>85</v>
      </c>
      <c r="G10" s="19" t="s">
        <v>898</v>
      </c>
      <c r="H10" s="18">
        <v>137.33333333333334</v>
      </c>
      <c r="I10" s="17" t="s">
        <v>158</v>
      </c>
      <c r="J10" s="17" t="s">
        <v>157</v>
      </c>
      <c r="K10" s="17"/>
      <c r="L10" s="17"/>
      <c r="M10" s="16" t="str">
        <f>HYPERLINK("http://slimages.macys.com/is/image/MCY/18624519 ")</f>
        <v xml:space="preserve">http://slimages.macys.com/is/image/MCY/18624519 </v>
      </c>
      <c r="N10" s="30"/>
    </row>
    <row r="11" spans="1:14" ht="60" x14ac:dyDescent="0.25">
      <c r="A11" s="19" t="s">
        <v>2421</v>
      </c>
      <c r="B11" s="17" t="s">
        <v>2420</v>
      </c>
      <c r="C11" s="20">
        <v>1</v>
      </c>
      <c r="D11" s="18">
        <v>475</v>
      </c>
      <c r="E11" s="20">
        <v>504102116000040</v>
      </c>
      <c r="F11" s="17" t="s">
        <v>85</v>
      </c>
      <c r="G11" s="19" t="s">
        <v>682</v>
      </c>
      <c r="H11" s="18">
        <v>132</v>
      </c>
      <c r="I11" s="17" t="s">
        <v>158</v>
      </c>
      <c r="J11" s="17" t="s">
        <v>157</v>
      </c>
      <c r="K11" s="17"/>
      <c r="L11" s="17"/>
      <c r="M11" s="16" t="str">
        <f>HYPERLINK("http://slimages.macys.com/is/image/MCY/18623345 ")</f>
        <v xml:space="preserve">http://slimages.macys.com/is/image/MCY/18623345 </v>
      </c>
      <c r="N11" s="30"/>
    </row>
    <row r="12" spans="1:14" ht="60" x14ac:dyDescent="0.25">
      <c r="A12" s="19" t="s">
        <v>6196</v>
      </c>
      <c r="B12" s="17" t="s">
        <v>6195</v>
      </c>
      <c r="C12" s="20">
        <v>1</v>
      </c>
      <c r="D12" s="18">
        <v>435</v>
      </c>
      <c r="E12" s="20">
        <v>533602196000020</v>
      </c>
      <c r="F12" s="17" t="s">
        <v>44</v>
      </c>
      <c r="G12" s="19" t="s">
        <v>62</v>
      </c>
      <c r="H12" s="18">
        <v>120.66666666666669</v>
      </c>
      <c r="I12" s="17" t="s">
        <v>158</v>
      </c>
      <c r="J12" s="17" t="s">
        <v>157</v>
      </c>
      <c r="K12" s="17"/>
      <c r="L12" s="17"/>
      <c r="M12" s="16" t="str">
        <f>HYPERLINK("http://slimages.macys.com/is/image/MCY/19224206 ")</f>
        <v xml:space="preserve">http://slimages.macys.com/is/image/MCY/19224206 </v>
      </c>
      <c r="N12" s="30"/>
    </row>
    <row r="13" spans="1:14" ht="60" x14ac:dyDescent="0.25">
      <c r="A13" s="19" t="s">
        <v>6194</v>
      </c>
      <c r="B13" s="17" t="s">
        <v>6193</v>
      </c>
      <c r="C13" s="20">
        <v>1</v>
      </c>
      <c r="D13" s="18">
        <v>300</v>
      </c>
      <c r="E13" s="20" t="s">
        <v>6192</v>
      </c>
      <c r="F13" s="17" t="s">
        <v>51</v>
      </c>
      <c r="G13" s="19" t="s">
        <v>69</v>
      </c>
      <c r="H13" s="18">
        <v>100</v>
      </c>
      <c r="I13" s="17" t="s">
        <v>133</v>
      </c>
      <c r="J13" s="17" t="s">
        <v>1530</v>
      </c>
      <c r="K13" s="17"/>
      <c r="L13" s="17"/>
      <c r="M13" s="16" t="str">
        <f>HYPERLINK("http://slimages.macys.com/is/image/MCY/19003048 ")</f>
        <v xml:space="preserve">http://slimages.macys.com/is/image/MCY/19003048 </v>
      </c>
      <c r="N13" s="30"/>
    </row>
    <row r="14" spans="1:14" ht="60" x14ac:dyDescent="0.25">
      <c r="A14" s="19" t="s">
        <v>6191</v>
      </c>
      <c r="B14" s="17" t="s">
        <v>6190</v>
      </c>
      <c r="C14" s="20">
        <v>1</v>
      </c>
      <c r="D14" s="18">
        <v>295</v>
      </c>
      <c r="E14" s="20">
        <v>336114112000010</v>
      </c>
      <c r="F14" s="17" t="s">
        <v>1526</v>
      </c>
      <c r="G14" s="19" t="s">
        <v>74</v>
      </c>
      <c r="H14" s="18">
        <v>82.000000000000014</v>
      </c>
      <c r="I14" s="17" t="s">
        <v>158</v>
      </c>
      <c r="J14" s="17" t="s">
        <v>946</v>
      </c>
      <c r="K14" s="17"/>
      <c r="L14" s="17"/>
      <c r="M14" s="16" t="str">
        <f>HYPERLINK("http://slimages.macys.com/is/image/MCY/18602547 ")</f>
        <v xml:space="preserve">http://slimages.macys.com/is/image/MCY/18602547 </v>
      </c>
      <c r="N14" s="30"/>
    </row>
    <row r="15" spans="1:14" ht="60" x14ac:dyDescent="0.25">
      <c r="A15" s="19" t="s">
        <v>6189</v>
      </c>
      <c r="B15" s="17" t="s">
        <v>6188</v>
      </c>
      <c r="C15" s="20">
        <v>3</v>
      </c>
      <c r="D15" s="18">
        <v>258</v>
      </c>
      <c r="E15" s="20" t="s">
        <v>6187</v>
      </c>
      <c r="F15" s="17" t="s">
        <v>164</v>
      </c>
      <c r="G15" s="19" t="s">
        <v>43</v>
      </c>
      <c r="H15" s="18">
        <v>81.066666666666677</v>
      </c>
      <c r="I15" s="17" t="s">
        <v>153</v>
      </c>
      <c r="J15" s="17" t="s">
        <v>153</v>
      </c>
      <c r="K15" s="17"/>
      <c r="L15" s="17"/>
      <c r="M15" s="16" t="str">
        <f>HYPERLINK("http://slimages.macys.com/is/image/MCY/18010097 ")</f>
        <v xml:space="preserve">http://slimages.macys.com/is/image/MCY/18010097 </v>
      </c>
      <c r="N15" s="30"/>
    </row>
    <row r="16" spans="1:14" ht="60" x14ac:dyDescent="0.25">
      <c r="A16" s="19" t="s">
        <v>6186</v>
      </c>
      <c r="B16" s="17" t="s">
        <v>6185</v>
      </c>
      <c r="C16" s="20">
        <v>1</v>
      </c>
      <c r="D16" s="18">
        <v>248</v>
      </c>
      <c r="E16" s="20" t="s">
        <v>6184</v>
      </c>
      <c r="F16" s="17" t="s">
        <v>51</v>
      </c>
      <c r="G16" s="19" t="s">
        <v>57</v>
      </c>
      <c r="H16" s="18">
        <v>77.900000000000006</v>
      </c>
      <c r="I16" s="17" t="s">
        <v>153</v>
      </c>
      <c r="J16" s="17" t="s">
        <v>153</v>
      </c>
      <c r="K16" s="17"/>
      <c r="L16" s="17"/>
      <c r="M16" s="16" t="str">
        <f>HYPERLINK("http://slimages.macys.com/is/image/MCY/18502653 ")</f>
        <v xml:space="preserve">http://slimages.macys.com/is/image/MCY/18502653 </v>
      </c>
      <c r="N16" s="30"/>
    </row>
    <row r="17" spans="1:14" ht="60" x14ac:dyDescent="0.25">
      <c r="A17" s="19" t="s">
        <v>6183</v>
      </c>
      <c r="B17" s="17" t="s">
        <v>6182</v>
      </c>
      <c r="C17" s="20">
        <v>1</v>
      </c>
      <c r="D17" s="18">
        <v>228</v>
      </c>
      <c r="E17" s="20" t="s">
        <v>6181</v>
      </c>
      <c r="F17" s="17" t="s">
        <v>23</v>
      </c>
      <c r="G17" s="19" t="s">
        <v>69</v>
      </c>
      <c r="H17" s="18">
        <v>65.540000000000006</v>
      </c>
      <c r="I17" s="17" t="s">
        <v>153</v>
      </c>
      <c r="J17" s="17" t="s">
        <v>153</v>
      </c>
      <c r="K17" s="17"/>
      <c r="L17" s="17"/>
      <c r="M17" s="16" t="str">
        <f>HYPERLINK("http://slimages.macys.com/is/image/MCY/18996631 ")</f>
        <v xml:space="preserve">http://slimages.macys.com/is/image/MCY/18996631 </v>
      </c>
      <c r="N17" s="30"/>
    </row>
    <row r="18" spans="1:14" ht="60" x14ac:dyDescent="0.25">
      <c r="A18" s="19" t="s">
        <v>6180</v>
      </c>
      <c r="B18" s="17" t="s">
        <v>6179</v>
      </c>
      <c r="C18" s="20">
        <v>2</v>
      </c>
      <c r="D18" s="18">
        <v>178</v>
      </c>
      <c r="E18" s="20" t="s">
        <v>3059</v>
      </c>
      <c r="F18" s="17" t="s">
        <v>51</v>
      </c>
      <c r="G18" s="19" t="s">
        <v>3210</v>
      </c>
      <c r="H18" s="18">
        <v>51.04</v>
      </c>
      <c r="I18" s="17" t="s">
        <v>756</v>
      </c>
      <c r="J18" s="17" t="s">
        <v>153</v>
      </c>
      <c r="K18" s="17"/>
      <c r="L18" s="17"/>
      <c r="M18" s="16" t="str">
        <f>HYPERLINK("http://slimages.macys.com/is/image/MCY/18662390 ")</f>
        <v xml:space="preserve">http://slimages.macys.com/is/image/MCY/18662390 </v>
      </c>
      <c r="N18" s="30"/>
    </row>
    <row r="19" spans="1:14" ht="60" x14ac:dyDescent="0.25">
      <c r="A19" s="19" t="s">
        <v>6178</v>
      </c>
      <c r="B19" s="17" t="s">
        <v>6177</v>
      </c>
      <c r="C19" s="20">
        <v>3</v>
      </c>
      <c r="D19" s="18">
        <v>178</v>
      </c>
      <c r="E19" s="20" t="s">
        <v>3059</v>
      </c>
      <c r="F19" s="17" t="s">
        <v>51</v>
      </c>
      <c r="G19" s="19" t="s">
        <v>3053</v>
      </c>
      <c r="H19" s="18">
        <v>51.04</v>
      </c>
      <c r="I19" s="17" t="s">
        <v>756</v>
      </c>
      <c r="J19" s="17" t="s">
        <v>153</v>
      </c>
      <c r="K19" s="17"/>
      <c r="L19" s="17"/>
      <c r="M19" s="16" t="str">
        <f>HYPERLINK("http://slimages.macys.com/is/image/MCY/18662390 ")</f>
        <v xml:space="preserve">http://slimages.macys.com/is/image/MCY/18662390 </v>
      </c>
      <c r="N19" s="30"/>
    </row>
    <row r="20" spans="1:14" ht="60" x14ac:dyDescent="0.25">
      <c r="A20" s="19" t="s">
        <v>3061</v>
      </c>
      <c r="B20" s="17" t="s">
        <v>3060</v>
      </c>
      <c r="C20" s="20">
        <v>1</v>
      </c>
      <c r="D20" s="18">
        <v>178</v>
      </c>
      <c r="E20" s="20" t="s">
        <v>3059</v>
      </c>
      <c r="F20" s="17" t="s">
        <v>51</v>
      </c>
      <c r="G20" s="19" t="s">
        <v>757</v>
      </c>
      <c r="H20" s="18">
        <v>51.04</v>
      </c>
      <c r="I20" s="17" t="s">
        <v>756</v>
      </c>
      <c r="J20" s="17" t="s">
        <v>153</v>
      </c>
      <c r="K20" s="17"/>
      <c r="L20" s="17"/>
      <c r="M20" s="16" t="str">
        <f>HYPERLINK("http://slimages.macys.com/is/image/MCY/18662390 ")</f>
        <v xml:space="preserve">http://slimages.macys.com/is/image/MCY/18662390 </v>
      </c>
      <c r="N20" s="30"/>
    </row>
    <row r="21" spans="1:14" ht="60" x14ac:dyDescent="0.25">
      <c r="A21" s="19" t="s">
        <v>6176</v>
      </c>
      <c r="B21" s="17" t="s">
        <v>6175</v>
      </c>
      <c r="C21" s="20">
        <v>1</v>
      </c>
      <c r="D21" s="18">
        <v>190</v>
      </c>
      <c r="E21" s="20">
        <v>316109122000030</v>
      </c>
      <c r="F21" s="17" t="s">
        <v>339</v>
      </c>
      <c r="G21" s="19" t="s">
        <v>116</v>
      </c>
      <c r="H21" s="18">
        <v>50.56</v>
      </c>
      <c r="I21" s="17" t="s">
        <v>158</v>
      </c>
      <c r="J21" s="17" t="s">
        <v>946</v>
      </c>
      <c r="K21" s="17"/>
      <c r="L21" s="17"/>
      <c r="M21" s="16" t="str">
        <f>HYPERLINK("http://slimages.macys.com/is/image/MCY/18728180 ")</f>
        <v xml:space="preserve">http://slimages.macys.com/is/image/MCY/18728180 </v>
      </c>
      <c r="N21" s="30"/>
    </row>
    <row r="22" spans="1:14" ht="60" x14ac:dyDescent="0.25">
      <c r="A22" s="19" t="s">
        <v>3056</v>
      </c>
      <c r="B22" s="17" t="s">
        <v>3055</v>
      </c>
      <c r="C22" s="20">
        <v>5</v>
      </c>
      <c r="D22" s="18">
        <v>168</v>
      </c>
      <c r="E22" s="20" t="s">
        <v>3054</v>
      </c>
      <c r="F22" s="17" t="s">
        <v>51</v>
      </c>
      <c r="G22" s="19" t="s">
        <v>3053</v>
      </c>
      <c r="H22" s="18">
        <v>48.14</v>
      </c>
      <c r="I22" s="17" t="s">
        <v>756</v>
      </c>
      <c r="J22" s="17" t="s">
        <v>153</v>
      </c>
      <c r="K22" s="17"/>
      <c r="L22" s="17"/>
      <c r="M22" s="16" t="str">
        <f>HYPERLINK("http://slimages.macys.com/is/image/MCY/18996672 ")</f>
        <v xml:space="preserve">http://slimages.macys.com/is/image/MCY/18996672 </v>
      </c>
      <c r="N22" s="30"/>
    </row>
    <row r="23" spans="1:14" ht="60" x14ac:dyDescent="0.25">
      <c r="A23" s="19" t="s">
        <v>6174</v>
      </c>
      <c r="B23" s="17" t="s">
        <v>6173</v>
      </c>
      <c r="C23" s="20">
        <v>1</v>
      </c>
      <c r="D23" s="18">
        <v>150</v>
      </c>
      <c r="E23" s="20" t="s">
        <v>6172</v>
      </c>
      <c r="F23" s="17" t="s">
        <v>23</v>
      </c>
      <c r="G23" s="19" t="s">
        <v>658</v>
      </c>
      <c r="H23" s="18">
        <v>46.000000000000007</v>
      </c>
      <c r="I23" s="17" t="s">
        <v>481</v>
      </c>
      <c r="J23" s="17" t="s">
        <v>1500</v>
      </c>
      <c r="K23" s="17"/>
      <c r="L23" s="17"/>
      <c r="M23" s="16" t="str">
        <f>HYPERLINK("http://slimages.macys.com/is/image/MCY/18947139 ")</f>
        <v xml:space="preserve">http://slimages.macys.com/is/image/MCY/18947139 </v>
      </c>
      <c r="N23" s="30"/>
    </row>
    <row r="24" spans="1:14" ht="60" x14ac:dyDescent="0.25">
      <c r="A24" s="19" t="s">
        <v>6171</v>
      </c>
      <c r="B24" s="17" t="s">
        <v>6170</v>
      </c>
      <c r="C24" s="20">
        <v>1</v>
      </c>
      <c r="D24" s="18">
        <v>168</v>
      </c>
      <c r="E24" s="20" t="s">
        <v>6169</v>
      </c>
      <c r="F24" s="17" t="s">
        <v>28</v>
      </c>
      <c r="G24" s="19" t="s">
        <v>694</v>
      </c>
      <c r="H24" s="18">
        <v>45.333333333333336</v>
      </c>
      <c r="I24" s="17" t="s">
        <v>148</v>
      </c>
      <c r="J24" s="17" t="s">
        <v>147</v>
      </c>
      <c r="K24" s="17"/>
      <c r="L24" s="17"/>
      <c r="M24" s="16" t="str">
        <f>HYPERLINK("http://slimages.macys.com/is/image/MCY/19262321 ")</f>
        <v xml:space="preserve">http://slimages.macys.com/is/image/MCY/19262321 </v>
      </c>
      <c r="N24" s="30"/>
    </row>
    <row r="25" spans="1:14" ht="60" x14ac:dyDescent="0.25">
      <c r="A25" s="19" t="s">
        <v>6168</v>
      </c>
      <c r="B25" s="17" t="s">
        <v>6167</v>
      </c>
      <c r="C25" s="20">
        <v>1</v>
      </c>
      <c r="D25" s="18">
        <v>158</v>
      </c>
      <c r="E25" s="20" t="s">
        <v>6166</v>
      </c>
      <c r="F25" s="17" t="s">
        <v>345</v>
      </c>
      <c r="G25" s="19" t="s">
        <v>3053</v>
      </c>
      <c r="H25" s="18">
        <v>45.24</v>
      </c>
      <c r="I25" s="17" t="s">
        <v>756</v>
      </c>
      <c r="J25" s="17" t="s">
        <v>153</v>
      </c>
      <c r="K25" s="17"/>
      <c r="L25" s="17"/>
      <c r="M25" s="16" t="str">
        <f>HYPERLINK("http://slimages.macys.com/is/image/MCY/19201172 ")</f>
        <v xml:space="preserve">http://slimages.macys.com/is/image/MCY/19201172 </v>
      </c>
      <c r="N25" s="30"/>
    </row>
    <row r="26" spans="1:14" ht="60" x14ac:dyDescent="0.25">
      <c r="A26" s="19" t="s">
        <v>6165</v>
      </c>
      <c r="B26" s="17" t="s">
        <v>6164</v>
      </c>
      <c r="C26" s="20">
        <v>1</v>
      </c>
      <c r="D26" s="18">
        <v>158</v>
      </c>
      <c r="E26" s="20" t="s">
        <v>6163</v>
      </c>
      <c r="F26" s="17" t="s">
        <v>51</v>
      </c>
      <c r="G26" s="19" t="s">
        <v>2295</v>
      </c>
      <c r="H26" s="18">
        <v>45.24</v>
      </c>
      <c r="I26" s="17" t="s">
        <v>756</v>
      </c>
      <c r="J26" s="17" t="s">
        <v>153</v>
      </c>
      <c r="K26" s="17"/>
      <c r="L26" s="17"/>
      <c r="M26" s="16" t="str">
        <f>HYPERLINK("http://slimages.macys.com/is/image/MCY/19201186 ")</f>
        <v xml:space="preserve">http://slimages.macys.com/is/image/MCY/19201186 </v>
      </c>
      <c r="N26" s="30"/>
    </row>
    <row r="27" spans="1:14" ht="60" x14ac:dyDescent="0.25">
      <c r="A27" s="19" t="s">
        <v>6162</v>
      </c>
      <c r="B27" s="17" t="s">
        <v>6161</v>
      </c>
      <c r="C27" s="20">
        <v>1</v>
      </c>
      <c r="D27" s="18">
        <v>148</v>
      </c>
      <c r="E27" s="20" t="s">
        <v>6160</v>
      </c>
      <c r="F27" s="17" t="s">
        <v>575</v>
      </c>
      <c r="G27" s="19"/>
      <c r="H27" s="18">
        <v>44.666666666666671</v>
      </c>
      <c r="I27" s="17" t="s">
        <v>148</v>
      </c>
      <c r="J27" s="17" t="s">
        <v>147</v>
      </c>
      <c r="K27" s="17" t="s">
        <v>637</v>
      </c>
      <c r="L27" s="17" t="s">
        <v>1724</v>
      </c>
      <c r="M27" s="16" t="str">
        <f>HYPERLINK("http://images.bloomingdales.com/is/image/BLM/11350682 ")</f>
        <v xml:space="preserve">http://images.bloomingdales.com/is/image/BLM/11350682 </v>
      </c>
      <c r="N27" s="30"/>
    </row>
    <row r="28" spans="1:14" ht="60" x14ac:dyDescent="0.25">
      <c r="A28" s="19" t="s">
        <v>6159</v>
      </c>
      <c r="B28" s="17" t="s">
        <v>6158</v>
      </c>
      <c r="C28" s="20">
        <v>1</v>
      </c>
      <c r="D28" s="18">
        <v>178</v>
      </c>
      <c r="E28" s="20">
        <v>2340</v>
      </c>
      <c r="F28" s="17" t="s">
        <v>575</v>
      </c>
      <c r="G28" s="19" t="s">
        <v>6157</v>
      </c>
      <c r="H28" s="18">
        <v>43.633333333333333</v>
      </c>
      <c r="I28" s="17" t="s">
        <v>148</v>
      </c>
      <c r="J28" s="17" t="s">
        <v>6156</v>
      </c>
      <c r="K28" s="17" t="s">
        <v>389</v>
      </c>
      <c r="L28" s="17" t="s">
        <v>1129</v>
      </c>
      <c r="M28" s="16" t="str">
        <f>HYPERLINK("http://slimages.macys.com/is/image/MCY/3511982 ")</f>
        <v xml:space="preserve">http://slimages.macys.com/is/image/MCY/3511982 </v>
      </c>
      <c r="N28" s="30"/>
    </row>
    <row r="29" spans="1:14" ht="60" x14ac:dyDescent="0.25">
      <c r="A29" s="19" t="s">
        <v>6155</v>
      </c>
      <c r="B29" s="17" t="s">
        <v>6154</v>
      </c>
      <c r="C29" s="20">
        <v>1</v>
      </c>
      <c r="D29" s="18">
        <v>148</v>
      </c>
      <c r="E29" s="20" t="s">
        <v>6153</v>
      </c>
      <c r="F29" s="17" t="s">
        <v>2876</v>
      </c>
      <c r="G29" s="19" t="s">
        <v>69</v>
      </c>
      <c r="H29" s="18">
        <v>42.5</v>
      </c>
      <c r="I29" s="17" t="s">
        <v>133</v>
      </c>
      <c r="J29" s="17" t="s">
        <v>584</v>
      </c>
      <c r="K29" s="17"/>
      <c r="L29" s="17"/>
      <c r="M29" s="16" t="str">
        <f>HYPERLINK("http://slimages.macys.com/is/image/MCY/20744335 ")</f>
        <v xml:space="preserve">http://slimages.macys.com/is/image/MCY/20744335 </v>
      </c>
      <c r="N29" s="30"/>
    </row>
    <row r="30" spans="1:14" ht="60" x14ac:dyDescent="0.25">
      <c r="A30" s="19" t="s">
        <v>6152</v>
      </c>
      <c r="B30" s="17" t="s">
        <v>6151</v>
      </c>
      <c r="C30" s="20">
        <v>1</v>
      </c>
      <c r="D30" s="18">
        <v>128</v>
      </c>
      <c r="E30" s="20" t="s">
        <v>2274</v>
      </c>
      <c r="F30" s="17" t="s">
        <v>51</v>
      </c>
      <c r="G30" s="19"/>
      <c r="H30" s="18">
        <v>38.666666666666664</v>
      </c>
      <c r="I30" s="17" t="s">
        <v>148</v>
      </c>
      <c r="J30" s="17" t="s">
        <v>147</v>
      </c>
      <c r="K30" s="17" t="s">
        <v>771</v>
      </c>
      <c r="L30" s="17" t="s">
        <v>2273</v>
      </c>
      <c r="M30" s="16" t="str">
        <f>HYPERLINK("http://images.bloomingdales.com/is/image/BLM/11350679 ")</f>
        <v xml:space="preserve">http://images.bloomingdales.com/is/image/BLM/11350679 </v>
      </c>
      <c r="N30" s="30"/>
    </row>
    <row r="31" spans="1:14" ht="60" x14ac:dyDescent="0.25">
      <c r="A31" s="19" t="s">
        <v>6150</v>
      </c>
      <c r="B31" s="17" t="s">
        <v>6149</v>
      </c>
      <c r="C31" s="20">
        <v>1</v>
      </c>
      <c r="D31" s="18">
        <v>158</v>
      </c>
      <c r="E31" s="20" t="s">
        <v>6146</v>
      </c>
      <c r="F31" s="17" t="s">
        <v>63</v>
      </c>
      <c r="G31" s="19" t="s">
        <v>69</v>
      </c>
      <c r="H31" s="18">
        <v>37.800000000000004</v>
      </c>
      <c r="I31" s="17" t="s">
        <v>133</v>
      </c>
      <c r="J31" s="17" t="s">
        <v>132</v>
      </c>
      <c r="K31" s="17"/>
      <c r="L31" s="17"/>
      <c r="M31" s="16" t="str">
        <f>HYPERLINK("http://slimages.macys.com/is/image/MCY/19111668 ")</f>
        <v xml:space="preserve">http://slimages.macys.com/is/image/MCY/19111668 </v>
      </c>
      <c r="N31" s="30"/>
    </row>
    <row r="32" spans="1:14" ht="60" x14ac:dyDescent="0.25">
      <c r="A32" s="19" t="s">
        <v>6148</v>
      </c>
      <c r="B32" s="17" t="s">
        <v>6147</v>
      </c>
      <c r="C32" s="20">
        <v>2</v>
      </c>
      <c r="D32" s="18">
        <v>158</v>
      </c>
      <c r="E32" s="20" t="s">
        <v>6146</v>
      </c>
      <c r="F32" s="17" t="s">
        <v>63</v>
      </c>
      <c r="G32" s="19" t="s">
        <v>74</v>
      </c>
      <c r="H32" s="18">
        <v>37.800000000000004</v>
      </c>
      <c r="I32" s="17" t="s">
        <v>133</v>
      </c>
      <c r="J32" s="17" t="s">
        <v>132</v>
      </c>
      <c r="K32" s="17"/>
      <c r="L32" s="17"/>
      <c r="M32" s="16" t="str">
        <f>HYPERLINK("http://slimages.macys.com/is/image/MCY/19111668 ")</f>
        <v xml:space="preserve">http://slimages.macys.com/is/image/MCY/19111668 </v>
      </c>
      <c r="N32" s="30"/>
    </row>
    <row r="33" spans="1:14" ht="60" x14ac:dyDescent="0.25">
      <c r="A33" s="19" t="s">
        <v>6145</v>
      </c>
      <c r="B33" s="17" t="s">
        <v>6144</v>
      </c>
      <c r="C33" s="20">
        <v>1</v>
      </c>
      <c r="D33" s="18">
        <v>189.5</v>
      </c>
      <c r="E33" s="20" t="s">
        <v>6143</v>
      </c>
      <c r="F33" s="17" t="s">
        <v>58</v>
      </c>
      <c r="G33" s="19" t="s">
        <v>197</v>
      </c>
      <c r="H33" s="18">
        <v>35.700000000000003</v>
      </c>
      <c r="I33" s="17" t="s">
        <v>68</v>
      </c>
      <c r="J33" s="17" t="s">
        <v>67</v>
      </c>
      <c r="K33" s="17"/>
      <c r="L33" s="17"/>
      <c r="M33" s="16" t="str">
        <f>HYPERLINK("http://slimages.macys.com/is/image/MCY/18130903 ")</f>
        <v xml:space="preserve">http://slimages.macys.com/is/image/MCY/18130903 </v>
      </c>
      <c r="N33" s="30"/>
    </row>
    <row r="34" spans="1:14" ht="60" x14ac:dyDescent="0.25">
      <c r="A34" s="19" t="s">
        <v>6142</v>
      </c>
      <c r="B34" s="17" t="s">
        <v>6141</v>
      </c>
      <c r="C34" s="20">
        <v>1</v>
      </c>
      <c r="D34" s="18">
        <v>148</v>
      </c>
      <c r="E34" s="20" t="s">
        <v>6140</v>
      </c>
      <c r="F34" s="17"/>
      <c r="G34" s="19" t="s">
        <v>69</v>
      </c>
      <c r="H34" s="18">
        <v>35.4</v>
      </c>
      <c r="I34" s="17" t="s">
        <v>133</v>
      </c>
      <c r="J34" s="17" t="s">
        <v>132</v>
      </c>
      <c r="K34" s="17"/>
      <c r="L34" s="17"/>
      <c r="M34" s="16" t="str">
        <f>HYPERLINK("http://slimages.macys.com/is/image/MCY/18860562 ")</f>
        <v xml:space="preserve">http://slimages.macys.com/is/image/MCY/18860562 </v>
      </c>
      <c r="N34" s="30"/>
    </row>
    <row r="35" spans="1:14" ht="60" x14ac:dyDescent="0.25">
      <c r="A35" s="19" t="s">
        <v>4070</v>
      </c>
      <c r="B35" s="17" t="s">
        <v>4069</v>
      </c>
      <c r="C35" s="20">
        <v>1</v>
      </c>
      <c r="D35" s="18">
        <v>148</v>
      </c>
      <c r="E35" s="20" t="s">
        <v>4068</v>
      </c>
      <c r="F35" s="17"/>
      <c r="G35" s="19" t="s">
        <v>57</v>
      </c>
      <c r="H35" s="18">
        <v>35.4</v>
      </c>
      <c r="I35" s="17" t="s">
        <v>133</v>
      </c>
      <c r="J35" s="17" t="s">
        <v>132</v>
      </c>
      <c r="K35" s="17" t="s">
        <v>637</v>
      </c>
      <c r="L35" s="17" t="s">
        <v>4067</v>
      </c>
      <c r="M35" s="16" t="str">
        <f>HYPERLINK("http://images.bloomingdales.com/is/image/BLM/11474927 ")</f>
        <v xml:space="preserve">http://images.bloomingdales.com/is/image/BLM/11474927 </v>
      </c>
      <c r="N35" s="30"/>
    </row>
    <row r="36" spans="1:14" ht="60" x14ac:dyDescent="0.25">
      <c r="A36" s="19" t="s">
        <v>6139</v>
      </c>
      <c r="B36" s="17" t="s">
        <v>6138</v>
      </c>
      <c r="C36" s="20">
        <v>1</v>
      </c>
      <c r="D36" s="18">
        <v>198</v>
      </c>
      <c r="E36" s="20" t="s">
        <v>6137</v>
      </c>
      <c r="F36" s="17" t="s">
        <v>23</v>
      </c>
      <c r="G36" s="19" t="s">
        <v>857</v>
      </c>
      <c r="H36" s="18">
        <v>34.1</v>
      </c>
      <c r="I36" s="17" t="s">
        <v>133</v>
      </c>
      <c r="J36" s="17" t="s">
        <v>584</v>
      </c>
      <c r="K36" s="17" t="s">
        <v>6136</v>
      </c>
      <c r="L36" s="17" t="s">
        <v>1724</v>
      </c>
      <c r="M36" s="16" t="str">
        <f>HYPERLINK("http://images.bloomingdales.com/is/image/BLM/10827025 ")</f>
        <v xml:space="preserve">http://images.bloomingdales.com/is/image/BLM/10827025 </v>
      </c>
      <c r="N36" s="30"/>
    </row>
    <row r="37" spans="1:14" ht="60" x14ac:dyDescent="0.25">
      <c r="A37" s="19" t="s">
        <v>6135</v>
      </c>
      <c r="B37" s="17" t="s">
        <v>6134</v>
      </c>
      <c r="C37" s="20">
        <v>4</v>
      </c>
      <c r="D37" s="18">
        <v>138</v>
      </c>
      <c r="E37" s="20" t="s">
        <v>2239</v>
      </c>
      <c r="F37" s="17"/>
      <c r="G37" s="19" t="s">
        <v>69</v>
      </c>
      <c r="H37" s="18">
        <v>33</v>
      </c>
      <c r="I37" s="17" t="s">
        <v>133</v>
      </c>
      <c r="J37" s="17" t="s">
        <v>132</v>
      </c>
      <c r="K37" s="17" t="s">
        <v>637</v>
      </c>
      <c r="L37" s="17" t="s">
        <v>2238</v>
      </c>
      <c r="M37" s="16" t="str">
        <f>HYPERLINK("http://images.bloomingdales.com/is/image/BLM/11402583 ")</f>
        <v xml:space="preserve">http://images.bloomingdales.com/is/image/BLM/11402583 </v>
      </c>
      <c r="N37" s="30"/>
    </row>
    <row r="38" spans="1:14" ht="60" x14ac:dyDescent="0.25">
      <c r="A38" s="19" t="s">
        <v>6133</v>
      </c>
      <c r="B38" s="17" t="s">
        <v>6132</v>
      </c>
      <c r="C38" s="20">
        <v>1</v>
      </c>
      <c r="D38" s="18">
        <v>139.5</v>
      </c>
      <c r="E38" s="20" t="s">
        <v>6131</v>
      </c>
      <c r="F38" s="17" t="s">
        <v>544</v>
      </c>
      <c r="G38" s="19" t="s">
        <v>682</v>
      </c>
      <c r="H38" s="18">
        <v>30.693333333333335</v>
      </c>
      <c r="I38" s="17" t="s">
        <v>654</v>
      </c>
      <c r="J38" s="17" t="s">
        <v>653</v>
      </c>
      <c r="K38" s="17"/>
      <c r="L38" s="17"/>
      <c r="M38" s="16" t="str">
        <f>HYPERLINK("http://slimages.macys.com/is/image/MCY/19193050 ")</f>
        <v xml:space="preserve">http://slimages.macys.com/is/image/MCY/19193050 </v>
      </c>
      <c r="N38" s="30"/>
    </row>
    <row r="39" spans="1:14" ht="60" x14ac:dyDescent="0.25">
      <c r="A39" s="19" t="s">
        <v>6130</v>
      </c>
      <c r="B39" s="17" t="s">
        <v>6129</v>
      </c>
      <c r="C39" s="20">
        <v>1</v>
      </c>
      <c r="D39" s="18">
        <v>149</v>
      </c>
      <c r="E39" s="20" t="s">
        <v>1461</v>
      </c>
      <c r="F39" s="17" t="s">
        <v>23</v>
      </c>
      <c r="G39" s="19" t="s">
        <v>5172</v>
      </c>
      <c r="H39" s="18">
        <v>30.666666666666664</v>
      </c>
      <c r="I39" s="17" t="s">
        <v>550</v>
      </c>
      <c r="J39" s="17" t="s">
        <v>1310</v>
      </c>
      <c r="K39" s="17"/>
      <c r="L39" s="17"/>
      <c r="M39" s="16" t="str">
        <f>HYPERLINK("http://slimages.macys.com/is/image/MCY/18210303 ")</f>
        <v xml:space="preserve">http://slimages.macys.com/is/image/MCY/18210303 </v>
      </c>
      <c r="N39" s="30"/>
    </row>
    <row r="40" spans="1:14" ht="60" x14ac:dyDescent="0.25">
      <c r="A40" s="19" t="s">
        <v>5364</v>
      </c>
      <c r="B40" s="17" t="s">
        <v>5363</v>
      </c>
      <c r="C40" s="20">
        <v>1</v>
      </c>
      <c r="D40" s="18">
        <v>109.99</v>
      </c>
      <c r="E40" s="20">
        <v>50039659</v>
      </c>
      <c r="F40" s="17" t="s">
        <v>28</v>
      </c>
      <c r="G40" s="19" t="s">
        <v>658</v>
      </c>
      <c r="H40" s="18">
        <v>30.666666666666664</v>
      </c>
      <c r="I40" s="17" t="s">
        <v>854</v>
      </c>
      <c r="J40" s="17" t="s">
        <v>850</v>
      </c>
      <c r="K40" s="17"/>
      <c r="L40" s="17"/>
      <c r="M40" s="16" t="str">
        <f>HYPERLINK("http://slimages.macys.com/is/image/MCY/18703354 ")</f>
        <v xml:space="preserve">http://slimages.macys.com/is/image/MCY/18703354 </v>
      </c>
      <c r="N40" s="30"/>
    </row>
    <row r="41" spans="1:14" ht="60" x14ac:dyDescent="0.25">
      <c r="A41" s="19" t="s">
        <v>6128</v>
      </c>
      <c r="B41" s="17" t="s">
        <v>6127</v>
      </c>
      <c r="C41" s="20">
        <v>1</v>
      </c>
      <c r="D41" s="18">
        <v>115</v>
      </c>
      <c r="E41" s="20" t="s">
        <v>6126</v>
      </c>
      <c r="F41" s="17" t="s">
        <v>70</v>
      </c>
      <c r="G41" s="19" t="s">
        <v>6125</v>
      </c>
      <c r="H41" s="18">
        <v>30.666666666666664</v>
      </c>
      <c r="I41" s="17" t="s">
        <v>481</v>
      </c>
      <c r="J41" s="17" t="s">
        <v>2282</v>
      </c>
      <c r="K41" s="17"/>
      <c r="L41" s="17"/>
      <c r="M41" s="16" t="str">
        <f>HYPERLINK("http://slimages.macys.com/is/image/MCY/19108102 ")</f>
        <v xml:space="preserve">http://slimages.macys.com/is/image/MCY/19108102 </v>
      </c>
      <c r="N41" s="30"/>
    </row>
    <row r="42" spans="1:14" ht="60" x14ac:dyDescent="0.25">
      <c r="A42" s="19" t="s">
        <v>6124</v>
      </c>
      <c r="B42" s="17" t="s">
        <v>6123</v>
      </c>
      <c r="C42" s="20">
        <v>1</v>
      </c>
      <c r="D42" s="18">
        <v>128</v>
      </c>
      <c r="E42" s="20" t="s">
        <v>2212</v>
      </c>
      <c r="F42" s="17"/>
      <c r="G42" s="19" t="s">
        <v>62</v>
      </c>
      <c r="H42" s="18">
        <v>30.6</v>
      </c>
      <c r="I42" s="17" t="s">
        <v>133</v>
      </c>
      <c r="J42" s="17" t="s">
        <v>132</v>
      </c>
      <c r="K42" s="17"/>
      <c r="L42" s="17"/>
      <c r="M42" s="16" t="str">
        <f>HYPERLINK("http://slimages.macys.com/is/image/MCY/18992113 ")</f>
        <v xml:space="preserve">http://slimages.macys.com/is/image/MCY/18992113 </v>
      </c>
      <c r="N42" s="30"/>
    </row>
    <row r="43" spans="1:14" ht="60" x14ac:dyDescent="0.25">
      <c r="A43" s="19" t="s">
        <v>6122</v>
      </c>
      <c r="B43" s="17" t="s">
        <v>6121</v>
      </c>
      <c r="C43" s="20">
        <v>5</v>
      </c>
      <c r="D43" s="18">
        <v>128</v>
      </c>
      <c r="E43" s="20" t="s">
        <v>6118</v>
      </c>
      <c r="F43" s="17"/>
      <c r="G43" s="19" t="s">
        <v>69</v>
      </c>
      <c r="H43" s="18">
        <v>30.6</v>
      </c>
      <c r="I43" s="17" t="s">
        <v>133</v>
      </c>
      <c r="J43" s="17" t="s">
        <v>132</v>
      </c>
      <c r="K43" s="17"/>
      <c r="L43" s="17"/>
      <c r="M43" s="16" t="str">
        <f>HYPERLINK("http://slimages.macys.com/is/image/MCY/18992562 ")</f>
        <v xml:space="preserve">http://slimages.macys.com/is/image/MCY/18992562 </v>
      </c>
      <c r="N43" s="30"/>
    </row>
    <row r="44" spans="1:14" ht="60" x14ac:dyDescent="0.25">
      <c r="A44" s="19" t="s">
        <v>6120</v>
      </c>
      <c r="B44" s="17" t="s">
        <v>6119</v>
      </c>
      <c r="C44" s="20">
        <v>3</v>
      </c>
      <c r="D44" s="18">
        <v>128</v>
      </c>
      <c r="E44" s="20" t="s">
        <v>6118</v>
      </c>
      <c r="F44" s="17"/>
      <c r="G44" s="19" t="s">
        <v>74</v>
      </c>
      <c r="H44" s="18">
        <v>30.6</v>
      </c>
      <c r="I44" s="17" t="s">
        <v>133</v>
      </c>
      <c r="J44" s="17" t="s">
        <v>132</v>
      </c>
      <c r="K44" s="17" t="s">
        <v>637</v>
      </c>
      <c r="L44" s="17" t="s">
        <v>6117</v>
      </c>
      <c r="M44" s="16" t="str">
        <f>HYPERLINK("http://images.bloomingdales.com/is/image/BLM/11402529 ")</f>
        <v xml:space="preserve">http://images.bloomingdales.com/is/image/BLM/11402529 </v>
      </c>
      <c r="N44" s="30"/>
    </row>
    <row r="45" spans="1:14" ht="60" x14ac:dyDescent="0.25">
      <c r="A45" s="19" t="s">
        <v>6116</v>
      </c>
      <c r="B45" s="17" t="s">
        <v>6115</v>
      </c>
      <c r="C45" s="20">
        <v>4</v>
      </c>
      <c r="D45" s="18">
        <v>138</v>
      </c>
      <c r="E45" s="20" t="s">
        <v>6106</v>
      </c>
      <c r="F45" s="17" t="s">
        <v>58</v>
      </c>
      <c r="G45" s="19" t="s">
        <v>57</v>
      </c>
      <c r="H45" s="18">
        <v>30.373333333333335</v>
      </c>
      <c r="I45" s="17" t="s">
        <v>153</v>
      </c>
      <c r="J45" s="17" t="s">
        <v>153</v>
      </c>
      <c r="K45" s="17" t="s">
        <v>4105</v>
      </c>
      <c r="L45" s="17" t="s">
        <v>4104</v>
      </c>
      <c r="M45" s="16" t="str">
        <f>HYPERLINK("http://slimages.macys.com/is/image/MCY/19926943 ")</f>
        <v xml:space="preserve">http://slimages.macys.com/is/image/MCY/19926943 </v>
      </c>
      <c r="N45" s="30"/>
    </row>
    <row r="46" spans="1:14" ht="60" x14ac:dyDescent="0.25">
      <c r="A46" s="19" t="s">
        <v>6114</v>
      </c>
      <c r="B46" s="17" t="s">
        <v>6113</v>
      </c>
      <c r="C46" s="20">
        <v>13</v>
      </c>
      <c r="D46" s="18">
        <v>138</v>
      </c>
      <c r="E46" s="20" t="s">
        <v>6106</v>
      </c>
      <c r="F46" s="17" t="s">
        <v>58</v>
      </c>
      <c r="G46" s="19" t="s">
        <v>197</v>
      </c>
      <c r="H46" s="18">
        <v>30.373333333333335</v>
      </c>
      <c r="I46" s="17" t="s">
        <v>153</v>
      </c>
      <c r="J46" s="17" t="s">
        <v>153</v>
      </c>
      <c r="K46" s="17" t="s">
        <v>4105</v>
      </c>
      <c r="L46" s="17" t="s">
        <v>4104</v>
      </c>
      <c r="M46" s="16" t="str">
        <f>HYPERLINK("http://slimages.macys.com/is/image/MCY/19926943 ")</f>
        <v xml:space="preserve">http://slimages.macys.com/is/image/MCY/19926943 </v>
      </c>
      <c r="N46" s="30"/>
    </row>
    <row r="47" spans="1:14" ht="60" x14ac:dyDescent="0.25">
      <c r="A47" s="19" t="s">
        <v>6112</v>
      </c>
      <c r="B47" s="17" t="s">
        <v>6111</v>
      </c>
      <c r="C47" s="20">
        <v>9</v>
      </c>
      <c r="D47" s="18">
        <v>138</v>
      </c>
      <c r="E47" s="20" t="s">
        <v>6106</v>
      </c>
      <c r="F47" s="17" t="s">
        <v>58</v>
      </c>
      <c r="G47" s="19" t="s">
        <v>74</v>
      </c>
      <c r="H47" s="18">
        <v>30.373333333333335</v>
      </c>
      <c r="I47" s="17" t="s">
        <v>153</v>
      </c>
      <c r="J47" s="17" t="s">
        <v>153</v>
      </c>
      <c r="K47" s="17" t="s">
        <v>4105</v>
      </c>
      <c r="L47" s="17" t="s">
        <v>4104</v>
      </c>
      <c r="M47" s="16" t="str">
        <f>HYPERLINK("http://slimages.macys.com/is/image/MCY/19926943 ")</f>
        <v xml:space="preserve">http://slimages.macys.com/is/image/MCY/19926943 </v>
      </c>
      <c r="N47" s="30"/>
    </row>
    <row r="48" spans="1:14" ht="60" x14ac:dyDescent="0.25">
      <c r="A48" s="19" t="s">
        <v>6110</v>
      </c>
      <c r="B48" s="17" t="s">
        <v>6109</v>
      </c>
      <c r="C48" s="20">
        <v>15</v>
      </c>
      <c r="D48" s="18">
        <v>138</v>
      </c>
      <c r="E48" s="20" t="s">
        <v>6106</v>
      </c>
      <c r="F48" s="17" t="s">
        <v>58</v>
      </c>
      <c r="G48" s="19" t="s">
        <v>69</v>
      </c>
      <c r="H48" s="18">
        <v>30.373333333333335</v>
      </c>
      <c r="I48" s="17" t="s">
        <v>153</v>
      </c>
      <c r="J48" s="17" t="s">
        <v>153</v>
      </c>
      <c r="K48" s="17" t="s">
        <v>4105</v>
      </c>
      <c r="L48" s="17" t="s">
        <v>4104</v>
      </c>
      <c r="M48" s="16" t="str">
        <f>HYPERLINK("http://slimages.macys.com/is/image/MCY/19926943 ")</f>
        <v xml:space="preserve">http://slimages.macys.com/is/image/MCY/19926943 </v>
      </c>
      <c r="N48" s="30"/>
    </row>
    <row r="49" spans="1:14" ht="60" x14ac:dyDescent="0.25">
      <c r="A49" s="19" t="s">
        <v>6108</v>
      </c>
      <c r="B49" s="17" t="s">
        <v>6107</v>
      </c>
      <c r="C49" s="20">
        <v>16</v>
      </c>
      <c r="D49" s="18">
        <v>138</v>
      </c>
      <c r="E49" s="20" t="s">
        <v>6106</v>
      </c>
      <c r="F49" s="17" t="s">
        <v>58</v>
      </c>
      <c r="G49" s="19" t="s">
        <v>62</v>
      </c>
      <c r="H49" s="18">
        <v>30.373333333333335</v>
      </c>
      <c r="I49" s="17" t="s">
        <v>153</v>
      </c>
      <c r="J49" s="17" t="s">
        <v>153</v>
      </c>
      <c r="K49" s="17" t="s">
        <v>4105</v>
      </c>
      <c r="L49" s="17" t="s">
        <v>4104</v>
      </c>
      <c r="M49" s="16" t="str">
        <f>HYPERLINK("http://slimages.macys.com/is/image/MCY/19926943 ")</f>
        <v xml:space="preserve">http://slimages.macys.com/is/image/MCY/19926943 </v>
      </c>
      <c r="N49" s="30"/>
    </row>
    <row r="50" spans="1:14" ht="60" x14ac:dyDescent="0.25">
      <c r="A50" s="19" t="s">
        <v>6105</v>
      </c>
      <c r="B50" s="17" t="s">
        <v>6104</v>
      </c>
      <c r="C50" s="20">
        <v>4</v>
      </c>
      <c r="D50" s="18">
        <v>99</v>
      </c>
      <c r="E50" s="20" t="s">
        <v>6099</v>
      </c>
      <c r="F50" s="17" t="s">
        <v>28</v>
      </c>
      <c r="G50" s="19" t="s">
        <v>857</v>
      </c>
      <c r="H50" s="18">
        <v>30</v>
      </c>
      <c r="I50" s="17" t="s">
        <v>148</v>
      </c>
      <c r="J50" s="17" t="s">
        <v>772</v>
      </c>
      <c r="K50" s="17"/>
      <c r="L50" s="17"/>
      <c r="M50" s="16" t="str">
        <f>HYPERLINK("http://slimages.macys.com/is/image/MCY/19323977 ")</f>
        <v xml:space="preserve">http://slimages.macys.com/is/image/MCY/19323977 </v>
      </c>
      <c r="N50" s="30"/>
    </row>
    <row r="51" spans="1:14" ht="60" x14ac:dyDescent="0.25">
      <c r="A51" s="19" t="s">
        <v>6103</v>
      </c>
      <c r="B51" s="17" t="s">
        <v>6102</v>
      </c>
      <c r="C51" s="20">
        <v>5</v>
      </c>
      <c r="D51" s="18">
        <v>99</v>
      </c>
      <c r="E51" s="20" t="s">
        <v>6099</v>
      </c>
      <c r="F51" s="17" t="s">
        <v>28</v>
      </c>
      <c r="G51" s="19" t="s">
        <v>698</v>
      </c>
      <c r="H51" s="18">
        <v>30</v>
      </c>
      <c r="I51" s="17" t="s">
        <v>148</v>
      </c>
      <c r="J51" s="17" t="s">
        <v>772</v>
      </c>
      <c r="K51" s="17"/>
      <c r="L51" s="17"/>
      <c r="M51" s="16" t="str">
        <f>HYPERLINK("http://slimages.macys.com/is/image/MCY/19323977 ")</f>
        <v xml:space="preserve">http://slimages.macys.com/is/image/MCY/19323977 </v>
      </c>
      <c r="N51" s="30"/>
    </row>
    <row r="52" spans="1:14" ht="60" x14ac:dyDescent="0.25">
      <c r="A52" s="19" t="s">
        <v>6101</v>
      </c>
      <c r="B52" s="17" t="s">
        <v>6100</v>
      </c>
      <c r="C52" s="20">
        <v>2</v>
      </c>
      <c r="D52" s="18">
        <v>99</v>
      </c>
      <c r="E52" s="20" t="s">
        <v>6099</v>
      </c>
      <c r="F52" s="17" t="s">
        <v>28</v>
      </c>
      <c r="G52" s="19" t="s">
        <v>96</v>
      </c>
      <c r="H52" s="18">
        <v>30</v>
      </c>
      <c r="I52" s="17" t="s">
        <v>148</v>
      </c>
      <c r="J52" s="17" t="s">
        <v>772</v>
      </c>
      <c r="K52" s="17"/>
      <c r="L52" s="17"/>
      <c r="M52" s="16" t="str">
        <f>HYPERLINK("http://slimages.macys.com/is/image/MCY/19323977 ")</f>
        <v xml:space="preserve">http://slimages.macys.com/is/image/MCY/19323977 </v>
      </c>
      <c r="N52" s="30"/>
    </row>
    <row r="53" spans="1:14" ht="60" x14ac:dyDescent="0.25">
      <c r="A53" s="19" t="s">
        <v>6098</v>
      </c>
      <c r="B53" s="17" t="s">
        <v>6097</v>
      </c>
      <c r="C53" s="20">
        <v>1</v>
      </c>
      <c r="D53" s="18">
        <v>149</v>
      </c>
      <c r="E53" s="20" t="s">
        <v>6096</v>
      </c>
      <c r="F53" s="17" t="s">
        <v>433</v>
      </c>
      <c r="G53" s="19" t="s">
        <v>898</v>
      </c>
      <c r="H53" s="18">
        <v>29.8</v>
      </c>
      <c r="I53" s="17" t="s">
        <v>144</v>
      </c>
      <c r="J53" s="17" t="s">
        <v>496</v>
      </c>
      <c r="K53" s="17"/>
      <c r="L53" s="17"/>
      <c r="M53" s="16" t="str">
        <f>HYPERLINK("http://slimages.macys.com/is/image/MCY/18549295 ")</f>
        <v xml:space="preserve">http://slimages.macys.com/is/image/MCY/18549295 </v>
      </c>
      <c r="N53" s="30"/>
    </row>
    <row r="54" spans="1:14" ht="60" x14ac:dyDescent="0.25">
      <c r="A54" s="19" t="s">
        <v>6095</v>
      </c>
      <c r="B54" s="17" t="s">
        <v>6094</v>
      </c>
      <c r="C54" s="20">
        <v>1</v>
      </c>
      <c r="D54" s="18">
        <v>148</v>
      </c>
      <c r="E54" s="20" t="s">
        <v>6093</v>
      </c>
      <c r="F54" s="17" t="s">
        <v>91</v>
      </c>
      <c r="G54" s="19" t="s">
        <v>749</v>
      </c>
      <c r="H54" s="18">
        <v>29.600000000000005</v>
      </c>
      <c r="I54" s="17" t="s">
        <v>115</v>
      </c>
      <c r="J54" s="17" t="s">
        <v>748</v>
      </c>
      <c r="K54" s="17"/>
      <c r="L54" s="17"/>
      <c r="M54" s="16" t="str">
        <f>HYPERLINK("http://slimages.macys.com/is/image/MCY/16836528 ")</f>
        <v xml:space="preserve">http://slimages.macys.com/is/image/MCY/16836528 </v>
      </c>
      <c r="N54" s="30"/>
    </row>
    <row r="55" spans="1:14" ht="60" x14ac:dyDescent="0.25">
      <c r="A55" s="19" t="s">
        <v>6092</v>
      </c>
      <c r="B55" s="17" t="s">
        <v>6091</v>
      </c>
      <c r="C55" s="20">
        <v>1</v>
      </c>
      <c r="D55" s="18">
        <v>149</v>
      </c>
      <c r="E55" s="20" t="s">
        <v>1449</v>
      </c>
      <c r="F55" s="17" t="s">
        <v>44</v>
      </c>
      <c r="G55" s="19"/>
      <c r="H55" s="18">
        <v>28.666666666666668</v>
      </c>
      <c r="I55" s="17" t="s">
        <v>550</v>
      </c>
      <c r="J55" s="17" t="s">
        <v>1448</v>
      </c>
      <c r="K55" s="17"/>
      <c r="L55" s="17"/>
      <c r="M55" s="16" t="str">
        <f>HYPERLINK("http://slimages.macys.com/is/image/MCY/18194643 ")</f>
        <v xml:space="preserve">http://slimages.macys.com/is/image/MCY/18194643 </v>
      </c>
      <c r="N55" s="30"/>
    </row>
    <row r="56" spans="1:14" ht="60" x14ac:dyDescent="0.25">
      <c r="A56" s="19" t="s">
        <v>6090</v>
      </c>
      <c r="B56" s="17" t="s">
        <v>6089</v>
      </c>
      <c r="C56" s="20">
        <v>1</v>
      </c>
      <c r="D56" s="18">
        <v>149</v>
      </c>
      <c r="E56" s="20" t="s">
        <v>1449</v>
      </c>
      <c r="F56" s="17" t="s">
        <v>44</v>
      </c>
      <c r="G56" s="19" t="s">
        <v>1445</v>
      </c>
      <c r="H56" s="18">
        <v>28.666666666666668</v>
      </c>
      <c r="I56" s="17" t="s">
        <v>550</v>
      </c>
      <c r="J56" s="17" t="s">
        <v>1448</v>
      </c>
      <c r="K56" s="17"/>
      <c r="L56" s="17"/>
      <c r="M56" s="16" t="str">
        <f>HYPERLINK("http://slimages.macys.com/is/image/MCY/18194643 ")</f>
        <v xml:space="preserve">http://slimages.macys.com/is/image/MCY/18194643 </v>
      </c>
      <c r="N56" s="30"/>
    </row>
    <row r="57" spans="1:14" ht="60" x14ac:dyDescent="0.25">
      <c r="A57" s="19" t="s">
        <v>6088</v>
      </c>
      <c r="B57" s="17" t="s">
        <v>6087</v>
      </c>
      <c r="C57" s="20">
        <v>1</v>
      </c>
      <c r="D57" s="18">
        <v>95</v>
      </c>
      <c r="E57" s="20" t="s">
        <v>6086</v>
      </c>
      <c r="F57" s="17" t="s">
        <v>535</v>
      </c>
      <c r="G57" s="19" t="s">
        <v>74</v>
      </c>
      <c r="H57" s="18">
        <v>28.666666666666668</v>
      </c>
      <c r="I57" s="17" t="s">
        <v>133</v>
      </c>
      <c r="J57" s="17" t="s">
        <v>1437</v>
      </c>
      <c r="K57" s="17"/>
      <c r="L57" s="17"/>
      <c r="M57" s="16" t="str">
        <f>HYPERLINK("http://slimages.macys.com/is/image/MCY/19251706 ")</f>
        <v xml:space="preserve">http://slimages.macys.com/is/image/MCY/19251706 </v>
      </c>
      <c r="N57" s="30"/>
    </row>
    <row r="58" spans="1:14" ht="60" x14ac:dyDescent="0.25">
      <c r="A58" s="19" t="s">
        <v>6085</v>
      </c>
      <c r="B58" s="17" t="s">
        <v>6084</v>
      </c>
      <c r="C58" s="20">
        <v>1</v>
      </c>
      <c r="D58" s="18">
        <v>111.75</v>
      </c>
      <c r="E58" s="20" t="s">
        <v>6083</v>
      </c>
      <c r="F58" s="17" t="s">
        <v>272</v>
      </c>
      <c r="G58" s="19" t="s">
        <v>1445</v>
      </c>
      <c r="H58" s="18">
        <v>28.126666666666669</v>
      </c>
      <c r="I58" s="17" t="s">
        <v>358</v>
      </c>
      <c r="J58" s="17" t="s">
        <v>32</v>
      </c>
      <c r="K58" s="17"/>
      <c r="L58" s="17"/>
      <c r="M58" s="16" t="str">
        <f>HYPERLINK("http://slimages.macys.com/is/image/MCY/19728217 ")</f>
        <v xml:space="preserve">http://slimages.macys.com/is/image/MCY/19728217 </v>
      </c>
      <c r="N58" s="30"/>
    </row>
    <row r="59" spans="1:14" ht="60" x14ac:dyDescent="0.25">
      <c r="A59" s="19" t="s">
        <v>6082</v>
      </c>
      <c r="B59" s="17" t="s">
        <v>6081</v>
      </c>
      <c r="C59" s="20">
        <v>1</v>
      </c>
      <c r="D59" s="18">
        <v>119</v>
      </c>
      <c r="E59" s="20" t="s">
        <v>6080</v>
      </c>
      <c r="F59" s="17" t="s">
        <v>2876</v>
      </c>
      <c r="G59" s="19" t="s">
        <v>1368</v>
      </c>
      <c r="H59" s="18">
        <v>28.000000000000004</v>
      </c>
      <c r="I59" s="17" t="s">
        <v>115</v>
      </c>
      <c r="J59" s="17" t="s">
        <v>1367</v>
      </c>
      <c r="K59" s="17"/>
      <c r="L59" s="17"/>
      <c r="M59" s="16" t="str">
        <f>HYPERLINK("http://slimages.macys.com/is/image/MCY/18055952 ")</f>
        <v xml:space="preserve">http://slimages.macys.com/is/image/MCY/18055952 </v>
      </c>
      <c r="N59" s="30"/>
    </row>
    <row r="60" spans="1:14" ht="60" x14ac:dyDescent="0.25">
      <c r="A60" s="19" t="s">
        <v>4041</v>
      </c>
      <c r="B60" s="17" t="s">
        <v>4040</v>
      </c>
      <c r="C60" s="20">
        <v>1</v>
      </c>
      <c r="D60" s="18">
        <v>149</v>
      </c>
      <c r="E60" s="20" t="s">
        <v>2187</v>
      </c>
      <c r="F60" s="17" t="s">
        <v>58</v>
      </c>
      <c r="G60" s="19" t="s">
        <v>682</v>
      </c>
      <c r="H60" s="18">
        <v>27.813333333333333</v>
      </c>
      <c r="I60" s="17" t="s">
        <v>820</v>
      </c>
      <c r="J60" s="17" t="s">
        <v>67</v>
      </c>
      <c r="K60" s="17"/>
      <c r="L60" s="17"/>
      <c r="M60" s="16" t="str">
        <f>HYPERLINK("http://slimages.macys.com/is/image/MCY/19909553 ")</f>
        <v xml:space="preserve">http://slimages.macys.com/is/image/MCY/19909553 </v>
      </c>
      <c r="N60" s="30"/>
    </row>
    <row r="61" spans="1:14" ht="60" x14ac:dyDescent="0.25">
      <c r="A61" s="19" t="s">
        <v>6079</v>
      </c>
      <c r="B61" s="17" t="s">
        <v>6078</v>
      </c>
      <c r="C61" s="20">
        <v>1</v>
      </c>
      <c r="D61" s="18">
        <v>96.75</v>
      </c>
      <c r="E61" s="20">
        <v>10758370</v>
      </c>
      <c r="F61" s="17" t="s">
        <v>23</v>
      </c>
      <c r="G61" s="19" t="s">
        <v>1445</v>
      </c>
      <c r="H61" s="18">
        <v>27.093333333333334</v>
      </c>
      <c r="I61" s="17" t="s">
        <v>358</v>
      </c>
      <c r="J61" s="17" t="s">
        <v>143</v>
      </c>
      <c r="K61" s="17"/>
      <c r="L61" s="17"/>
      <c r="M61" s="16" t="str">
        <f>HYPERLINK("http://slimages.macys.com/is/image/MCY/16862623 ")</f>
        <v xml:space="preserve">http://slimages.macys.com/is/image/MCY/16862623 </v>
      </c>
      <c r="N61" s="30"/>
    </row>
    <row r="62" spans="1:14" ht="60" x14ac:dyDescent="0.25">
      <c r="A62" s="19" t="s">
        <v>6077</v>
      </c>
      <c r="B62" s="17" t="s">
        <v>6076</v>
      </c>
      <c r="C62" s="20">
        <v>1</v>
      </c>
      <c r="D62" s="18">
        <v>95</v>
      </c>
      <c r="E62" s="20">
        <v>597602196000010</v>
      </c>
      <c r="F62" s="17" t="s">
        <v>23</v>
      </c>
      <c r="G62" s="19" t="s">
        <v>27</v>
      </c>
      <c r="H62" s="18">
        <v>26.666666666666668</v>
      </c>
      <c r="I62" s="17" t="s">
        <v>158</v>
      </c>
      <c r="J62" s="17" t="s">
        <v>157</v>
      </c>
      <c r="K62" s="17"/>
      <c r="L62" s="17"/>
      <c r="M62" s="16" t="str">
        <f>HYPERLINK("http://slimages.macys.com/is/image/MCY/19224002 ")</f>
        <v xml:space="preserve">http://slimages.macys.com/is/image/MCY/19224002 </v>
      </c>
      <c r="N62" s="30"/>
    </row>
    <row r="63" spans="1:14" ht="60" x14ac:dyDescent="0.25">
      <c r="A63" s="19" t="s">
        <v>6075</v>
      </c>
      <c r="B63" s="17" t="s">
        <v>6074</v>
      </c>
      <c r="C63" s="20">
        <v>1</v>
      </c>
      <c r="D63" s="18">
        <v>89.99</v>
      </c>
      <c r="E63" s="20">
        <v>50039792</v>
      </c>
      <c r="F63" s="17" t="s">
        <v>508</v>
      </c>
      <c r="G63" s="19" t="s">
        <v>1968</v>
      </c>
      <c r="H63" s="18">
        <v>26.666666666666668</v>
      </c>
      <c r="I63" s="17" t="s">
        <v>851</v>
      </c>
      <c r="J63" s="17" t="s">
        <v>850</v>
      </c>
      <c r="K63" s="17"/>
      <c r="L63" s="17"/>
      <c r="M63" s="16" t="str">
        <f>HYPERLINK("http://slimages.macys.com/is/image/MCY/18482547 ")</f>
        <v xml:space="preserve">http://slimages.macys.com/is/image/MCY/18482547 </v>
      </c>
      <c r="N63" s="30"/>
    </row>
    <row r="64" spans="1:14" ht="60" x14ac:dyDescent="0.25">
      <c r="A64" s="19" t="s">
        <v>2174</v>
      </c>
      <c r="B64" s="17" t="s">
        <v>2173</v>
      </c>
      <c r="C64" s="20">
        <v>9</v>
      </c>
      <c r="D64" s="18">
        <v>148</v>
      </c>
      <c r="E64" s="20" t="s">
        <v>2172</v>
      </c>
      <c r="F64" s="17" t="s">
        <v>216</v>
      </c>
      <c r="G64" s="19" t="s">
        <v>898</v>
      </c>
      <c r="H64" s="18">
        <v>26.64</v>
      </c>
      <c r="I64" s="17" t="s">
        <v>115</v>
      </c>
      <c r="J64" s="17" t="s">
        <v>742</v>
      </c>
      <c r="K64" s="17"/>
      <c r="L64" s="17"/>
      <c r="M64" s="16" t="str">
        <f>HYPERLINK("http://slimages.macys.com/is/image/MCY/16756634 ")</f>
        <v xml:space="preserve">http://slimages.macys.com/is/image/MCY/16756634 </v>
      </c>
      <c r="N64" s="30"/>
    </row>
    <row r="65" spans="1:14" ht="60" x14ac:dyDescent="0.25">
      <c r="A65" s="19" t="s">
        <v>6073</v>
      </c>
      <c r="B65" s="17" t="s">
        <v>6072</v>
      </c>
      <c r="C65" s="20">
        <v>1</v>
      </c>
      <c r="D65" s="18">
        <v>148</v>
      </c>
      <c r="E65" s="20" t="s">
        <v>743</v>
      </c>
      <c r="F65" s="17" t="s">
        <v>359</v>
      </c>
      <c r="G65" s="19" t="s">
        <v>857</v>
      </c>
      <c r="H65" s="18">
        <v>26.64</v>
      </c>
      <c r="I65" s="17" t="s">
        <v>115</v>
      </c>
      <c r="J65" s="17" t="s">
        <v>742</v>
      </c>
      <c r="K65" s="17"/>
      <c r="L65" s="17"/>
      <c r="M65" s="16" t="str">
        <f>HYPERLINK("http://slimages.macys.com/is/image/MCY/16842224 ")</f>
        <v xml:space="preserve">http://slimages.macys.com/is/image/MCY/16842224 </v>
      </c>
      <c r="N65" s="30"/>
    </row>
    <row r="66" spans="1:14" ht="60" x14ac:dyDescent="0.25">
      <c r="A66" s="19" t="s">
        <v>6071</v>
      </c>
      <c r="B66" s="17" t="s">
        <v>6070</v>
      </c>
      <c r="C66" s="20">
        <v>9</v>
      </c>
      <c r="D66" s="18">
        <v>148</v>
      </c>
      <c r="E66" s="20" t="s">
        <v>2172</v>
      </c>
      <c r="F66" s="17" t="s">
        <v>216</v>
      </c>
      <c r="G66" s="19" t="s">
        <v>698</v>
      </c>
      <c r="H66" s="18">
        <v>26.64</v>
      </c>
      <c r="I66" s="17" t="s">
        <v>115</v>
      </c>
      <c r="J66" s="17" t="s">
        <v>742</v>
      </c>
      <c r="K66" s="17"/>
      <c r="L66" s="17"/>
      <c r="M66" s="16" t="str">
        <f>HYPERLINK("http://slimages.macys.com/is/image/MCY/16756634 ")</f>
        <v xml:space="preserve">http://slimages.macys.com/is/image/MCY/16756634 </v>
      </c>
      <c r="N66" s="30"/>
    </row>
    <row r="67" spans="1:14" ht="60" x14ac:dyDescent="0.25">
      <c r="A67" s="19" t="s">
        <v>6069</v>
      </c>
      <c r="B67" s="17" t="s">
        <v>6068</v>
      </c>
      <c r="C67" s="20">
        <v>1</v>
      </c>
      <c r="D67" s="18">
        <v>98</v>
      </c>
      <c r="E67" s="20" t="s">
        <v>2166</v>
      </c>
      <c r="F67" s="17" t="s">
        <v>282</v>
      </c>
      <c r="G67" s="19"/>
      <c r="H67" s="18">
        <v>26.6</v>
      </c>
      <c r="I67" s="17" t="s">
        <v>148</v>
      </c>
      <c r="J67" s="17" t="s">
        <v>2093</v>
      </c>
      <c r="K67" s="17"/>
      <c r="L67" s="17"/>
      <c r="M67" s="16" t="str">
        <f>HYPERLINK("http://slimages.macys.com/is/image/MCY/18869369 ")</f>
        <v xml:space="preserve">http://slimages.macys.com/is/image/MCY/18869369 </v>
      </c>
      <c r="N67" s="30"/>
    </row>
    <row r="68" spans="1:14" ht="60" x14ac:dyDescent="0.25">
      <c r="A68" s="19" t="s">
        <v>6067</v>
      </c>
      <c r="B68" s="17" t="s">
        <v>6066</v>
      </c>
      <c r="C68" s="20">
        <v>1</v>
      </c>
      <c r="D68" s="18">
        <v>104.25</v>
      </c>
      <c r="E68" s="20" t="s">
        <v>5322</v>
      </c>
      <c r="F68" s="17" t="s">
        <v>282</v>
      </c>
      <c r="G68" s="19" t="s">
        <v>1292</v>
      </c>
      <c r="H68" s="18">
        <v>26.233333333333334</v>
      </c>
      <c r="I68" s="17" t="s">
        <v>358</v>
      </c>
      <c r="J68" s="17" t="s">
        <v>32</v>
      </c>
      <c r="K68" s="17"/>
      <c r="L68" s="17"/>
      <c r="M68" s="16" t="str">
        <f>HYPERLINK("http://slimages.macys.com/is/image/MCY/19728299 ")</f>
        <v xml:space="preserve">http://slimages.macys.com/is/image/MCY/19728299 </v>
      </c>
      <c r="N68" s="30"/>
    </row>
    <row r="69" spans="1:14" ht="60" x14ac:dyDescent="0.25">
      <c r="A69" s="19" t="s">
        <v>741</v>
      </c>
      <c r="B69" s="17" t="s">
        <v>740</v>
      </c>
      <c r="C69" s="20">
        <v>2</v>
      </c>
      <c r="D69" s="18">
        <v>104.25</v>
      </c>
      <c r="E69" s="20" t="s">
        <v>739</v>
      </c>
      <c r="F69" s="17" t="s">
        <v>272</v>
      </c>
      <c r="G69" s="19" t="s">
        <v>738</v>
      </c>
      <c r="H69" s="18">
        <v>26.233333333333334</v>
      </c>
      <c r="I69" s="17" t="s">
        <v>33</v>
      </c>
      <c r="J69" s="17" t="s">
        <v>32</v>
      </c>
      <c r="K69" s="17"/>
      <c r="L69" s="17"/>
      <c r="M69" s="16" t="str">
        <f>HYPERLINK("http://slimages.macys.com/is/image/MCY/19722944 ")</f>
        <v xml:space="preserve">http://slimages.macys.com/is/image/MCY/19722944 </v>
      </c>
      <c r="N69" s="30"/>
    </row>
    <row r="70" spans="1:14" ht="60" x14ac:dyDescent="0.25">
      <c r="A70" s="19" t="s">
        <v>6065</v>
      </c>
      <c r="B70" s="17" t="s">
        <v>6064</v>
      </c>
      <c r="C70" s="20">
        <v>2</v>
      </c>
      <c r="D70" s="18">
        <v>104.25</v>
      </c>
      <c r="E70" s="20" t="s">
        <v>739</v>
      </c>
      <c r="F70" s="17" t="s">
        <v>272</v>
      </c>
      <c r="G70" s="19" t="s">
        <v>669</v>
      </c>
      <c r="H70" s="18">
        <v>26.233333333333334</v>
      </c>
      <c r="I70" s="17" t="s">
        <v>33</v>
      </c>
      <c r="J70" s="17" t="s">
        <v>32</v>
      </c>
      <c r="K70" s="17"/>
      <c r="L70" s="17"/>
      <c r="M70" s="16" t="str">
        <f>HYPERLINK("http://slimages.macys.com/is/image/MCY/19722944 ")</f>
        <v xml:space="preserve">http://slimages.macys.com/is/image/MCY/19722944 </v>
      </c>
      <c r="N70" s="30"/>
    </row>
    <row r="71" spans="1:14" ht="60" x14ac:dyDescent="0.25">
      <c r="A71" s="19" t="s">
        <v>6063</v>
      </c>
      <c r="B71" s="17" t="s">
        <v>6062</v>
      </c>
      <c r="C71" s="20">
        <v>1</v>
      </c>
      <c r="D71" s="18">
        <v>104.25</v>
      </c>
      <c r="E71" s="20" t="s">
        <v>6061</v>
      </c>
      <c r="F71" s="17" t="s">
        <v>35</v>
      </c>
      <c r="G71" s="19" t="s">
        <v>351</v>
      </c>
      <c r="H71" s="18">
        <v>26.233333333333334</v>
      </c>
      <c r="I71" s="17" t="s">
        <v>358</v>
      </c>
      <c r="J71" s="17" t="s">
        <v>32</v>
      </c>
      <c r="K71" s="17"/>
      <c r="L71" s="17"/>
      <c r="M71" s="16" t="str">
        <f>HYPERLINK("http://slimages.macys.com/is/image/MCY/18402663 ")</f>
        <v xml:space="preserve">http://slimages.macys.com/is/image/MCY/18402663 </v>
      </c>
      <c r="N71" s="30"/>
    </row>
    <row r="72" spans="1:14" ht="60" x14ac:dyDescent="0.25">
      <c r="A72" s="19" t="s">
        <v>5326</v>
      </c>
      <c r="B72" s="17" t="s">
        <v>5325</v>
      </c>
      <c r="C72" s="20">
        <v>1</v>
      </c>
      <c r="D72" s="18">
        <v>104.25</v>
      </c>
      <c r="E72" s="20" t="s">
        <v>5322</v>
      </c>
      <c r="F72" s="17" t="s">
        <v>282</v>
      </c>
      <c r="G72" s="19" t="s">
        <v>916</v>
      </c>
      <c r="H72" s="18">
        <v>26.233333333333334</v>
      </c>
      <c r="I72" s="17" t="s">
        <v>358</v>
      </c>
      <c r="J72" s="17" t="s">
        <v>32</v>
      </c>
      <c r="K72" s="17"/>
      <c r="L72" s="17"/>
      <c r="M72" s="16" t="str">
        <f>HYPERLINK("http://slimages.macys.com/is/image/MCY/19728299 ")</f>
        <v xml:space="preserve">http://slimages.macys.com/is/image/MCY/19728299 </v>
      </c>
      <c r="N72" s="30"/>
    </row>
    <row r="73" spans="1:14" ht="60" x14ac:dyDescent="0.25">
      <c r="A73" s="19" t="s">
        <v>6060</v>
      </c>
      <c r="B73" s="17" t="s">
        <v>6059</v>
      </c>
      <c r="C73" s="20">
        <v>1</v>
      </c>
      <c r="D73" s="18">
        <v>98</v>
      </c>
      <c r="E73" s="20" t="s">
        <v>6058</v>
      </c>
      <c r="F73" s="17" t="s">
        <v>508</v>
      </c>
      <c r="G73" s="19"/>
      <c r="H73" s="18">
        <v>26.133333333333333</v>
      </c>
      <c r="I73" s="17" t="s">
        <v>148</v>
      </c>
      <c r="J73" s="17" t="s">
        <v>2093</v>
      </c>
      <c r="K73" s="17"/>
      <c r="L73" s="17"/>
      <c r="M73" s="16" t="str">
        <f>HYPERLINK("http://slimages.macys.com/is/image/MCY/19147061 ")</f>
        <v xml:space="preserve">http://slimages.macys.com/is/image/MCY/19147061 </v>
      </c>
      <c r="N73" s="30"/>
    </row>
    <row r="74" spans="1:14" ht="60" x14ac:dyDescent="0.25">
      <c r="A74" s="19" t="s">
        <v>6057</v>
      </c>
      <c r="B74" s="17" t="s">
        <v>6056</v>
      </c>
      <c r="C74" s="20">
        <v>1</v>
      </c>
      <c r="D74" s="18">
        <v>118</v>
      </c>
      <c r="E74" s="20" t="s">
        <v>6055</v>
      </c>
      <c r="F74" s="17" t="s">
        <v>345</v>
      </c>
      <c r="G74" s="19" t="s">
        <v>17</v>
      </c>
      <c r="H74" s="18">
        <v>26.040000000000003</v>
      </c>
      <c r="I74" s="17" t="s">
        <v>49</v>
      </c>
      <c r="J74" s="17" t="s">
        <v>48</v>
      </c>
      <c r="K74" s="17"/>
      <c r="L74" s="17"/>
      <c r="M74" s="16" t="str">
        <f>HYPERLINK("http://slimages.macys.com/is/image/MCY/19348782 ")</f>
        <v xml:space="preserve">http://slimages.macys.com/is/image/MCY/19348782 </v>
      </c>
      <c r="N74" s="30"/>
    </row>
    <row r="75" spans="1:14" ht="60" x14ac:dyDescent="0.25">
      <c r="A75" s="19" t="s">
        <v>6054</v>
      </c>
      <c r="B75" s="17" t="s">
        <v>6053</v>
      </c>
      <c r="C75" s="20">
        <v>1</v>
      </c>
      <c r="D75" s="18">
        <v>139</v>
      </c>
      <c r="E75" s="20" t="s">
        <v>6052</v>
      </c>
      <c r="F75" s="17" t="s">
        <v>23</v>
      </c>
      <c r="G75" s="19" t="s">
        <v>738</v>
      </c>
      <c r="H75" s="18">
        <v>25.946666666666665</v>
      </c>
      <c r="I75" s="17" t="s">
        <v>33</v>
      </c>
      <c r="J75" s="17" t="s">
        <v>404</v>
      </c>
      <c r="K75" s="17"/>
      <c r="L75" s="17"/>
      <c r="M75" s="16" t="str">
        <f>HYPERLINK("http://slimages.macys.com/is/image/MCY/17049283 ")</f>
        <v xml:space="preserve">http://slimages.macys.com/is/image/MCY/17049283 </v>
      </c>
      <c r="N75" s="30"/>
    </row>
    <row r="76" spans="1:14" ht="60" x14ac:dyDescent="0.25">
      <c r="A76" s="19" t="s">
        <v>6051</v>
      </c>
      <c r="B76" s="17" t="s">
        <v>6050</v>
      </c>
      <c r="C76" s="20">
        <v>1</v>
      </c>
      <c r="D76" s="18">
        <v>139</v>
      </c>
      <c r="E76" s="20" t="s">
        <v>6049</v>
      </c>
      <c r="F76" s="17" t="s">
        <v>23</v>
      </c>
      <c r="G76" s="19" t="s">
        <v>898</v>
      </c>
      <c r="H76" s="18">
        <v>25.946666666666665</v>
      </c>
      <c r="I76" s="17" t="s">
        <v>820</v>
      </c>
      <c r="J76" s="17" t="s">
        <v>67</v>
      </c>
      <c r="K76" s="17"/>
      <c r="L76" s="17"/>
      <c r="M76" s="16" t="str">
        <f>HYPERLINK("http://slimages.macys.com/is/image/MCY/17555844 ")</f>
        <v xml:space="preserve">http://slimages.macys.com/is/image/MCY/17555844 </v>
      </c>
      <c r="N76" s="30"/>
    </row>
    <row r="77" spans="1:14" ht="60" x14ac:dyDescent="0.25">
      <c r="A77" s="19" t="s">
        <v>6048</v>
      </c>
      <c r="B77" s="17" t="s">
        <v>6047</v>
      </c>
      <c r="C77" s="20">
        <v>1</v>
      </c>
      <c r="D77" s="18">
        <v>139</v>
      </c>
      <c r="E77" s="20" t="s">
        <v>6046</v>
      </c>
      <c r="F77" s="17" t="s">
        <v>535</v>
      </c>
      <c r="G77" s="19" t="s">
        <v>658</v>
      </c>
      <c r="H77" s="18">
        <v>25.946666666666665</v>
      </c>
      <c r="I77" s="17" t="s">
        <v>820</v>
      </c>
      <c r="J77" s="17" t="s">
        <v>67</v>
      </c>
      <c r="K77" s="17"/>
      <c r="L77" s="17"/>
      <c r="M77" s="16" t="str">
        <f>HYPERLINK("http://slimages.macys.com/is/image/MCY/19910077 ")</f>
        <v xml:space="preserve">http://slimages.macys.com/is/image/MCY/19910077 </v>
      </c>
      <c r="N77" s="30"/>
    </row>
    <row r="78" spans="1:14" ht="60" x14ac:dyDescent="0.25">
      <c r="A78" s="19" t="s">
        <v>6045</v>
      </c>
      <c r="B78" s="17" t="s">
        <v>6044</v>
      </c>
      <c r="C78" s="20">
        <v>1</v>
      </c>
      <c r="D78" s="18">
        <v>108</v>
      </c>
      <c r="E78" s="20" t="s">
        <v>6043</v>
      </c>
      <c r="F78" s="17"/>
      <c r="G78" s="19" t="s">
        <v>74</v>
      </c>
      <c r="H78" s="18">
        <v>25.8</v>
      </c>
      <c r="I78" s="17" t="s">
        <v>133</v>
      </c>
      <c r="J78" s="17" t="s">
        <v>132</v>
      </c>
      <c r="K78" s="17"/>
      <c r="L78" s="17"/>
      <c r="M78" s="16" t="str">
        <f>HYPERLINK("http://slimages.macys.com/is/image/MCY/18992854 ")</f>
        <v xml:space="preserve">http://slimages.macys.com/is/image/MCY/18992854 </v>
      </c>
      <c r="N78" s="30"/>
    </row>
    <row r="79" spans="1:14" ht="60" x14ac:dyDescent="0.25">
      <c r="A79" s="19" t="s">
        <v>6042</v>
      </c>
      <c r="B79" s="17" t="s">
        <v>6041</v>
      </c>
      <c r="C79" s="20">
        <v>1</v>
      </c>
      <c r="D79" s="18">
        <v>110</v>
      </c>
      <c r="E79" s="20" t="s">
        <v>6040</v>
      </c>
      <c r="F79" s="17" t="s">
        <v>28</v>
      </c>
      <c r="G79" s="19" t="s">
        <v>62</v>
      </c>
      <c r="H79" s="18">
        <v>25.666666666666668</v>
      </c>
      <c r="I79" s="17" t="s">
        <v>6039</v>
      </c>
      <c r="J79" s="17" t="s">
        <v>6038</v>
      </c>
      <c r="K79" s="17"/>
      <c r="L79" s="17"/>
      <c r="M79" s="16" t="str">
        <f>HYPERLINK("http://slimages.macys.com/is/image/MCY/17190613 ")</f>
        <v xml:space="preserve">http://slimages.macys.com/is/image/MCY/17190613 </v>
      </c>
      <c r="N79" s="30"/>
    </row>
    <row r="80" spans="1:14" ht="60" x14ac:dyDescent="0.25">
      <c r="A80" s="19" t="s">
        <v>6037</v>
      </c>
      <c r="B80" s="17" t="s">
        <v>6036</v>
      </c>
      <c r="C80" s="20">
        <v>1</v>
      </c>
      <c r="D80" s="18">
        <v>139</v>
      </c>
      <c r="E80" s="20" t="s">
        <v>6035</v>
      </c>
      <c r="F80" s="17" t="s">
        <v>23</v>
      </c>
      <c r="G80" s="19" t="s">
        <v>62</v>
      </c>
      <c r="H80" s="18">
        <v>25.666666666666668</v>
      </c>
      <c r="I80" s="17" t="s">
        <v>405</v>
      </c>
      <c r="J80" s="17" t="s">
        <v>404</v>
      </c>
      <c r="K80" s="17"/>
      <c r="L80" s="17"/>
      <c r="M80" s="16" t="str">
        <f>HYPERLINK("http://slimages.macys.com/is/image/MCY/19406641 ")</f>
        <v xml:space="preserve">http://slimages.macys.com/is/image/MCY/19406641 </v>
      </c>
      <c r="N80" s="30"/>
    </row>
    <row r="81" spans="1:14" ht="60" x14ac:dyDescent="0.25">
      <c r="A81" s="19" t="s">
        <v>6034</v>
      </c>
      <c r="B81" s="17" t="s">
        <v>6033</v>
      </c>
      <c r="C81" s="20">
        <v>1</v>
      </c>
      <c r="D81" s="18">
        <v>89.99</v>
      </c>
      <c r="E81" s="20" t="s">
        <v>2153</v>
      </c>
      <c r="F81" s="17" t="s">
        <v>58</v>
      </c>
      <c r="G81" s="19" t="s">
        <v>419</v>
      </c>
      <c r="H81" s="18">
        <v>25.38</v>
      </c>
      <c r="I81" s="17" t="s">
        <v>42</v>
      </c>
      <c r="J81" s="17" t="s">
        <v>41</v>
      </c>
      <c r="K81" s="17"/>
      <c r="L81" s="17"/>
      <c r="M81" s="16" t="str">
        <f>HYPERLINK("http://slimages.macys.com/is/image/MCY/16374379 ")</f>
        <v xml:space="preserve">http://slimages.macys.com/is/image/MCY/16374379 </v>
      </c>
      <c r="N81" s="30"/>
    </row>
    <row r="82" spans="1:14" ht="60" x14ac:dyDescent="0.25">
      <c r="A82" s="19" t="s">
        <v>6032</v>
      </c>
      <c r="B82" s="17" t="s">
        <v>6031</v>
      </c>
      <c r="C82" s="20">
        <v>7</v>
      </c>
      <c r="D82" s="18">
        <v>97.3</v>
      </c>
      <c r="E82" s="20" t="s">
        <v>6030</v>
      </c>
      <c r="F82" s="17" t="s">
        <v>58</v>
      </c>
      <c r="G82" s="19"/>
      <c r="H82" s="18">
        <v>25.38</v>
      </c>
      <c r="I82" s="17" t="s">
        <v>42</v>
      </c>
      <c r="J82" s="17" t="s">
        <v>41</v>
      </c>
      <c r="K82" s="17"/>
      <c r="L82" s="17"/>
      <c r="M82" s="16" t="str">
        <f>HYPERLINK("http://slimages.macys.com/is/image/MCY/18504916 ")</f>
        <v xml:space="preserve">http://slimages.macys.com/is/image/MCY/18504916 </v>
      </c>
      <c r="N82" s="30"/>
    </row>
    <row r="83" spans="1:14" ht="60" x14ac:dyDescent="0.25">
      <c r="A83" s="19" t="s">
        <v>1414</v>
      </c>
      <c r="B83" s="17" t="s">
        <v>1413</v>
      </c>
      <c r="C83" s="20">
        <v>1</v>
      </c>
      <c r="D83" s="18">
        <v>89.25</v>
      </c>
      <c r="E83" s="20">
        <v>10758369</v>
      </c>
      <c r="F83" s="17" t="s">
        <v>23</v>
      </c>
      <c r="G83" s="19" t="s">
        <v>1155</v>
      </c>
      <c r="H83" s="18">
        <v>24.993333333333336</v>
      </c>
      <c r="I83" s="17" t="s">
        <v>33</v>
      </c>
      <c r="J83" s="17" t="s">
        <v>143</v>
      </c>
      <c r="K83" s="17"/>
      <c r="L83" s="17"/>
      <c r="M83" s="16" t="str">
        <f>HYPERLINK("http://slimages.macys.com/is/image/MCY/18301568 ")</f>
        <v xml:space="preserve">http://slimages.macys.com/is/image/MCY/18301568 </v>
      </c>
      <c r="N83" s="30"/>
    </row>
    <row r="84" spans="1:14" ht="60" x14ac:dyDescent="0.25">
      <c r="A84" s="19" t="s">
        <v>6029</v>
      </c>
      <c r="B84" s="17" t="s">
        <v>6028</v>
      </c>
      <c r="C84" s="20">
        <v>1</v>
      </c>
      <c r="D84" s="18">
        <v>118</v>
      </c>
      <c r="E84" s="20" t="s">
        <v>6027</v>
      </c>
      <c r="F84" s="17" t="s">
        <v>140</v>
      </c>
      <c r="G84" s="19" t="s">
        <v>74</v>
      </c>
      <c r="H84" s="18">
        <v>24.666666666666668</v>
      </c>
      <c r="I84" s="17" t="s">
        <v>133</v>
      </c>
      <c r="J84" s="17" t="s">
        <v>833</v>
      </c>
      <c r="K84" s="17"/>
      <c r="L84" s="17"/>
      <c r="M84" s="16" t="str">
        <f>HYPERLINK("http://slimages.macys.com/is/image/MCY/19547012 ")</f>
        <v xml:space="preserve">http://slimages.macys.com/is/image/MCY/19547012 </v>
      </c>
      <c r="N84" s="30"/>
    </row>
    <row r="85" spans="1:14" ht="60" x14ac:dyDescent="0.25">
      <c r="A85" s="19" t="s">
        <v>6026</v>
      </c>
      <c r="B85" s="17" t="s">
        <v>6025</v>
      </c>
      <c r="C85" s="20">
        <v>1</v>
      </c>
      <c r="D85" s="18">
        <v>119</v>
      </c>
      <c r="E85" s="20">
        <v>10758684</v>
      </c>
      <c r="F85" s="17" t="s">
        <v>1408</v>
      </c>
      <c r="G85" s="19" t="s">
        <v>749</v>
      </c>
      <c r="H85" s="18">
        <v>24.593333333333334</v>
      </c>
      <c r="I85" s="17" t="s">
        <v>144</v>
      </c>
      <c r="J85" s="17" t="s">
        <v>143</v>
      </c>
      <c r="K85" s="17"/>
      <c r="L85" s="17"/>
      <c r="M85" s="16" t="str">
        <f>HYPERLINK("http://slimages.macys.com/is/image/MCY/16686480 ")</f>
        <v xml:space="preserve">http://slimages.macys.com/is/image/MCY/16686480 </v>
      </c>
      <c r="N85" s="30"/>
    </row>
    <row r="86" spans="1:14" ht="60" x14ac:dyDescent="0.25">
      <c r="A86" s="19" t="s">
        <v>6024</v>
      </c>
      <c r="B86" s="17" t="s">
        <v>6023</v>
      </c>
      <c r="C86" s="20">
        <v>2</v>
      </c>
      <c r="D86" s="18">
        <v>99</v>
      </c>
      <c r="E86" s="20" t="s">
        <v>6022</v>
      </c>
      <c r="F86" s="17" t="s">
        <v>1356</v>
      </c>
      <c r="G86" s="19" t="s">
        <v>773</v>
      </c>
      <c r="H86" s="18">
        <v>24.226666666666667</v>
      </c>
      <c r="I86" s="17" t="s">
        <v>1363</v>
      </c>
      <c r="J86" s="17" t="s">
        <v>1362</v>
      </c>
      <c r="K86" s="17"/>
      <c r="L86" s="17"/>
      <c r="M86" s="16" t="str">
        <f>HYPERLINK("http://slimages.macys.com/is/image/MCY/19038540 ")</f>
        <v xml:space="preserve">http://slimages.macys.com/is/image/MCY/19038540 </v>
      </c>
      <c r="N86" s="30"/>
    </row>
    <row r="87" spans="1:14" ht="60" x14ac:dyDescent="0.25">
      <c r="A87" s="19" t="s">
        <v>6021</v>
      </c>
      <c r="B87" s="17" t="s">
        <v>6020</v>
      </c>
      <c r="C87" s="20">
        <v>1</v>
      </c>
      <c r="D87" s="18">
        <v>119.5</v>
      </c>
      <c r="E87" s="20" t="s">
        <v>2946</v>
      </c>
      <c r="F87" s="17" t="s">
        <v>51</v>
      </c>
      <c r="G87" s="19" t="s">
        <v>197</v>
      </c>
      <c r="H87" s="18">
        <v>24.073333333333334</v>
      </c>
      <c r="I87" s="17" t="s">
        <v>106</v>
      </c>
      <c r="J87" s="17" t="s">
        <v>105</v>
      </c>
      <c r="K87" s="17"/>
      <c r="L87" s="17"/>
      <c r="M87" s="16" t="str">
        <f>HYPERLINK("http://slimages.macys.com/is/image/MCY/19026978 ")</f>
        <v xml:space="preserve">http://slimages.macys.com/is/image/MCY/19026978 </v>
      </c>
      <c r="N87" s="30"/>
    </row>
    <row r="88" spans="1:14" ht="60" x14ac:dyDescent="0.25">
      <c r="A88" s="19" t="s">
        <v>6019</v>
      </c>
      <c r="B88" s="17" t="s">
        <v>6018</v>
      </c>
      <c r="C88" s="20">
        <v>1</v>
      </c>
      <c r="D88" s="18">
        <v>119.5</v>
      </c>
      <c r="E88" s="20" t="s">
        <v>2946</v>
      </c>
      <c r="F88" s="17" t="s">
        <v>51</v>
      </c>
      <c r="G88" s="19" t="s">
        <v>69</v>
      </c>
      <c r="H88" s="18">
        <v>24.073333333333334</v>
      </c>
      <c r="I88" s="17" t="s">
        <v>106</v>
      </c>
      <c r="J88" s="17" t="s">
        <v>105</v>
      </c>
      <c r="K88" s="17"/>
      <c r="L88" s="17"/>
      <c r="M88" s="16" t="str">
        <f>HYPERLINK("http://slimages.macys.com/is/image/MCY/19026978 ")</f>
        <v xml:space="preserve">http://slimages.macys.com/is/image/MCY/19026978 </v>
      </c>
      <c r="N88" s="30"/>
    </row>
    <row r="89" spans="1:14" ht="60" x14ac:dyDescent="0.25">
      <c r="A89" s="19" t="s">
        <v>2939</v>
      </c>
      <c r="B89" s="17" t="s">
        <v>2938</v>
      </c>
      <c r="C89" s="20">
        <v>1</v>
      </c>
      <c r="D89" s="18">
        <v>108</v>
      </c>
      <c r="E89" s="20" t="s">
        <v>2937</v>
      </c>
      <c r="F89" s="17" t="s">
        <v>2284</v>
      </c>
      <c r="G89" s="19" t="s">
        <v>2936</v>
      </c>
      <c r="H89" s="18">
        <v>23.833333333333336</v>
      </c>
      <c r="I89" s="17" t="s">
        <v>49</v>
      </c>
      <c r="J89" s="17" t="s">
        <v>48</v>
      </c>
      <c r="K89" s="17"/>
      <c r="L89" s="17"/>
      <c r="M89" s="16" t="str">
        <f>HYPERLINK("http://slimages.macys.com/is/image/MCY/19410930 ")</f>
        <v xml:space="preserve">http://slimages.macys.com/is/image/MCY/19410930 </v>
      </c>
      <c r="N89" s="30"/>
    </row>
    <row r="90" spans="1:14" ht="60" x14ac:dyDescent="0.25">
      <c r="A90" s="19" t="s">
        <v>6017</v>
      </c>
      <c r="B90" s="17" t="s">
        <v>6016</v>
      </c>
      <c r="C90" s="20">
        <v>1</v>
      </c>
      <c r="D90" s="18">
        <v>108</v>
      </c>
      <c r="E90" s="20" t="s">
        <v>6015</v>
      </c>
      <c r="F90" s="17" t="s">
        <v>23</v>
      </c>
      <c r="G90" s="19" t="s">
        <v>101</v>
      </c>
      <c r="H90" s="18">
        <v>23.833333333333336</v>
      </c>
      <c r="I90" s="17" t="s">
        <v>49</v>
      </c>
      <c r="J90" s="17" t="s">
        <v>48</v>
      </c>
      <c r="K90" s="17"/>
      <c r="L90" s="17"/>
      <c r="M90" s="16" t="str">
        <f>HYPERLINK("http://slimages.macys.com/is/image/MCY/19177585 ")</f>
        <v xml:space="preserve">http://slimages.macys.com/is/image/MCY/19177585 </v>
      </c>
      <c r="N90" s="30"/>
    </row>
    <row r="91" spans="1:14" ht="60" x14ac:dyDescent="0.25">
      <c r="A91" s="19" t="s">
        <v>6014</v>
      </c>
      <c r="B91" s="17" t="s">
        <v>6013</v>
      </c>
      <c r="C91" s="20">
        <v>1</v>
      </c>
      <c r="D91" s="18">
        <v>129</v>
      </c>
      <c r="E91" s="20" t="s">
        <v>6012</v>
      </c>
      <c r="F91" s="17" t="s">
        <v>58</v>
      </c>
      <c r="G91" s="19" t="s">
        <v>62</v>
      </c>
      <c r="H91" s="18">
        <v>23.82</v>
      </c>
      <c r="I91" s="17" t="s">
        <v>405</v>
      </c>
      <c r="J91" s="17" t="s">
        <v>404</v>
      </c>
      <c r="K91" s="17" t="s">
        <v>637</v>
      </c>
      <c r="L91" s="17" t="s">
        <v>6011</v>
      </c>
      <c r="M91" s="16" t="str">
        <f>HYPERLINK("http://images.bloomingdales.com/is/image/BLM/11592957 ")</f>
        <v xml:space="preserve">http://images.bloomingdales.com/is/image/BLM/11592957 </v>
      </c>
      <c r="N91" s="30"/>
    </row>
    <row r="92" spans="1:14" ht="72" x14ac:dyDescent="0.25">
      <c r="A92" s="19" t="s">
        <v>6010</v>
      </c>
      <c r="B92" s="17" t="s">
        <v>6009</v>
      </c>
      <c r="C92" s="20">
        <v>1</v>
      </c>
      <c r="D92" s="18">
        <v>79.989999999999995</v>
      </c>
      <c r="E92" s="20">
        <v>50038707</v>
      </c>
      <c r="F92" s="17" t="s">
        <v>555</v>
      </c>
      <c r="G92" s="19" t="s">
        <v>658</v>
      </c>
      <c r="H92" s="18">
        <v>23.333333333333336</v>
      </c>
      <c r="I92" s="17" t="s">
        <v>854</v>
      </c>
      <c r="J92" s="17" t="s">
        <v>850</v>
      </c>
      <c r="K92" s="17" t="s">
        <v>389</v>
      </c>
      <c r="L92" s="17" t="s">
        <v>1390</v>
      </c>
      <c r="M92" s="16" t="str">
        <f>HYPERLINK("http://slimages.macys.com/is/image/MCY/14725615 ")</f>
        <v xml:space="preserve">http://slimages.macys.com/is/image/MCY/14725615 </v>
      </c>
      <c r="N92" s="30"/>
    </row>
    <row r="93" spans="1:14" ht="60" x14ac:dyDescent="0.25">
      <c r="A93" s="19" t="s">
        <v>5257</v>
      </c>
      <c r="B93" s="17" t="s">
        <v>5256</v>
      </c>
      <c r="C93" s="20">
        <v>1</v>
      </c>
      <c r="D93" s="18">
        <v>79.989999999999995</v>
      </c>
      <c r="E93" s="20">
        <v>50039411</v>
      </c>
      <c r="F93" s="17" t="s">
        <v>575</v>
      </c>
      <c r="G93" s="19" t="s">
        <v>658</v>
      </c>
      <c r="H93" s="18">
        <v>23.333333333333336</v>
      </c>
      <c r="I93" s="17" t="s">
        <v>854</v>
      </c>
      <c r="J93" s="17" t="s">
        <v>850</v>
      </c>
      <c r="K93" s="17"/>
      <c r="L93" s="17"/>
      <c r="M93" s="16" t="str">
        <f>HYPERLINK("http://slimages.macys.com/is/image/MCY/18180802 ")</f>
        <v xml:space="preserve">http://slimages.macys.com/is/image/MCY/18180802 </v>
      </c>
      <c r="N93" s="30"/>
    </row>
    <row r="94" spans="1:14" ht="60" x14ac:dyDescent="0.25">
      <c r="A94" s="19" t="s">
        <v>6008</v>
      </c>
      <c r="B94" s="17" t="s">
        <v>6007</v>
      </c>
      <c r="C94" s="20">
        <v>1</v>
      </c>
      <c r="D94" s="18">
        <v>139</v>
      </c>
      <c r="E94" s="20" t="s">
        <v>2132</v>
      </c>
      <c r="F94" s="17" t="s">
        <v>85</v>
      </c>
      <c r="G94" s="19" t="s">
        <v>6006</v>
      </c>
      <c r="H94" s="18">
        <v>23.333333333333336</v>
      </c>
      <c r="I94" s="17" t="s">
        <v>115</v>
      </c>
      <c r="J94" s="17" t="s">
        <v>2130</v>
      </c>
      <c r="K94" s="17"/>
      <c r="L94" s="17"/>
      <c r="M94" s="16" t="str">
        <f>HYPERLINK("http://slimages.macys.com/is/image/MCY/18746655 ")</f>
        <v xml:space="preserve">http://slimages.macys.com/is/image/MCY/18746655 </v>
      </c>
      <c r="N94" s="30"/>
    </row>
    <row r="95" spans="1:14" ht="60" x14ac:dyDescent="0.25">
      <c r="A95" s="19" t="s">
        <v>1389</v>
      </c>
      <c r="B95" s="17" t="s">
        <v>1388</v>
      </c>
      <c r="C95" s="20">
        <v>1</v>
      </c>
      <c r="D95" s="18">
        <v>89.99</v>
      </c>
      <c r="E95" s="20">
        <v>50039459</v>
      </c>
      <c r="F95" s="17" t="s">
        <v>544</v>
      </c>
      <c r="G95" s="19" t="s">
        <v>749</v>
      </c>
      <c r="H95" s="18">
        <v>23.333333333333336</v>
      </c>
      <c r="I95" s="17" t="s">
        <v>854</v>
      </c>
      <c r="J95" s="17" t="s">
        <v>850</v>
      </c>
      <c r="K95" s="17"/>
      <c r="L95" s="17"/>
      <c r="M95" s="16" t="str">
        <f>HYPERLINK("http://slimages.macys.com/is/image/MCY/17970732 ")</f>
        <v xml:space="preserve">http://slimages.macys.com/is/image/MCY/17970732 </v>
      </c>
      <c r="N95" s="30"/>
    </row>
    <row r="96" spans="1:14" ht="60" x14ac:dyDescent="0.25">
      <c r="A96" s="19" t="s">
        <v>6005</v>
      </c>
      <c r="B96" s="17" t="s">
        <v>6004</v>
      </c>
      <c r="C96" s="20">
        <v>1</v>
      </c>
      <c r="D96" s="18">
        <v>99</v>
      </c>
      <c r="E96" s="20">
        <v>7099513</v>
      </c>
      <c r="F96" s="17" t="s">
        <v>28</v>
      </c>
      <c r="G96" s="19" t="s">
        <v>62</v>
      </c>
      <c r="H96" s="18">
        <v>23.1</v>
      </c>
      <c r="I96" s="17" t="s">
        <v>111</v>
      </c>
      <c r="J96" s="17" t="s">
        <v>110</v>
      </c>
      <c r="K96" s="17"/>
      <c r="L96" s="17"/>
      <c r="M96" s="16" t="str">
        <f>HYPERLINK("http://slimages.macys.com/is/image/MCY/18747024 ")</f>
        <v xml:space="preserve">http://slimages.macys.com/is/image/MCY/18747024 </v>
      </c>
      <c r="N96" s="30"/>
    </row>
    <row r="97" spans="1:14" ht="60" x14ac:dyDescent="0.25">
      <c r="A97" s="19" t="s">
        <v>5239</v>
      </c>
      <c r="B97" s="17" t="s">
        <v>5238</v>
      </c>
      <c r="C97" s="20">
        <v>1</v>
      </c>
      <c r="D97" s="18">
        <v>109.5</v>
      </c>
      <c r="E97" s="20" t="s">
        <v>3969</v>
      </c>
      <c r="F97" s="17" t="s">
        <v>272</v>
      </c>
      <c r="G97" s="19" t="s">
        <v>197</v>
      </c>
      <c r="H97" s="18">
        <v>22.060000000000002</v>
      </c>
      <c r="I97" s="17" t="s">
        <v>106</v>
      </c>
      <c r="J97" s="17" t="s">
        <v>105</v>
      </c>
      <c r="K97" s="17"/>
      <c r="L97" s="17"/>
      <c r="M97" s="16" t="str">
        <f>HYPERLINK("http://slimages.macys.com/is/image/MCY/19899858 ")</f>
        <v xml:space="preserve">http://slimages.macys.com/is/image/MCY/19899858 </v>
      </c>
      <c r="N97" s="30"/>
    </row>
    <row r="98" spans="1:14" ht="60" x14ac:dyDescent="0.25">
      <c r="A98" s="19" t="s">
        <v>6003</v>
      </c>
      <c r="B98" s="17" t="s">
        <v>6002</v>
      </c>
      <c r="C98" s="20">
        <v>1</v>
      </c>
      <c r="D98" s="18">
        <v>109</v>
      </c>
      <c r="E98" s="20">
        <v>10797718</v>
      </c>
      <c r="F98" s="17" t="s">
        <v>508</v>
      </c>
      <c r="G98" s="19" t="s">
        <v>351</v>
      </c>
      <c r="H98" s="18">
        <v>21.8</v>
      </c>
      <c r="I98" s="17" t="s">
        <v>358</v>
      </c>
      <c r="J98" s="17" t="s">
        <v>554</v>
      </c>
      <c r="K98" s="17"/>
      <c r="L98" s="17"/>
      <c r="M98" s="16" t="str">
        <f>HYPERLINK("http://slimages.macys.com/is/image/MCY/18520643 ")</f>
        <v xml:space="preserve">http://slimages.macys.com/is/image/MCY/18520643 </v>
      </c>
      <c r="N98" s="30"/>
    </row>
    <row r="99" spans="1:14" ht="60" x14ac:dyDescent="0.25">
      <c r="A99" s="19" t="s">
        <v>6001</v>
      </c>
      <c r="B99" s="17" t="s">
        <v>6000</v>
      </c>
      <c r="C99" s="20">
        <v>1</v>
      </c>
      <c r="D99" s="18">
        <v>98</v>
      </c>
      <c r="E99" s="20" t="s">
        <v>3938</v>
      </c>
      <c r="F99" s="17" t="s">
        <v>345</v>
      </c>
      <c r="G99" s="19" t="s">
        <v>50</v>
      </c>
      <c r="H99" s="18">
        <v>21.626666666666669</v>
      </c>
      <c r="I99" s="17" t="s">
        <v>49</v>
      </c>
      <c r="J99" s="17" t="s">
        <v>48</v>
      </c>
      <c r="K99" s="17" t="s">
        <v>389</v>
      </c>
      <c r="L99" s="17" t="s">
        <v>3937</v>
      </c>
      <c r="M99" s="16" t="str">
        <f>HYPERLINK("http://slimages.macys.com/is/image/MCY/18753883 ")</f>
        <v xml:space="preserve">http://slimages.macys.com/is/image/MCY/18753883 </v>
      </c>
      <c r="N99" s="30"/>
    </row>
    <row r="100" spans="1:14" ht="60" x14ac:dyDescent="0.25">
      <c r="A100" s="19" t="s">
        <v>5999</v>
      </c>
      <c r="B100" s="17" t="s">
        <v>5998</v>
      </c>
      <c r="C100" s="20">
        <v>1</v>
      </c>
      <c r="D100" s="18">
        <v>89</v>
      </c>
      <c r="E100" s="20" t="s">
        <v>5997</v>
      </c>
      <c r="F100" s="17" t="s">
        <v>359</v>
      </c>
      <c r="G100" s="19" t="s">
        <v>773</v>
      </c>
      <c r="H100" s="18">
        <v>21.593333333333334</v>
      </c>
      <c r="I100" s="17" t="s">
        <v>1363</v>
      </c>
      <c r="J100" s="17" t="s">
        <v>1362</v>
      </c>
      <c r="K100" s="17"/>
      <c r="L100" s="17"/>
      <c r="M100" s="16" t="str">
        <f>HYPERLINK("http://slimages.macys.com/is/image/MCY/20781152 ")</f>
        <v xml:space="preserve">http://slimages.macys.com/is/image/MCY/20781152 </v>
      </c>
      <c r="N100" s="30"/>
    </row>
    <row r="101" spans="1:14" ht="72" x14ac:dyDescent="0.25">
      <c r="A101" s="19" t="s">
        <v>5996</v>
      </c>
      <c r="B101" s="17" t="s">
        <v>5995</v>
      </c>
      <c r="C101" s="20">
        <v>1</v>
      </c>
      <c r="D101" s="18">
        <v>89</v>
      </c>
      <c r="E101" s="20" t="s">
        <v>5994</v>
      </c>
      <c r="F101" s="17" t="s">
        <v>51</v>
      </c>
      <c r="G101" s="19" t="s">
        <v>898</v>
      </c>
      <c r="H101" s="18">
        <v>21.54</v>
      </c>
      <c r="I101" s="17" t="s">
        <v>1363</v>
      </c>
      <c r="J101" s="17" t="s">
        <v>1362</v>
      </c>
      <c r="K101" s="17" t="s">
        <v>389</v>
      </c>
      <c r="L101" s="17" t="s">
        <v>5993</v>
      </c>
      <c r="M101" s="16" t="str">
        <f>HYPERLINK("http://slimages.macys.com/is/image/MCY/15858139 ")</f>
        <v xml:space="preserve">http://slimages.macys.com/is/image/MCY/15858139 </v>
      </c>
      <c r="N101" s="30"/>
    </row>
    <row r="102" spans="1:14" ht="60" x14ac:dyDescent="0.25">
      <c r="A102" s="19" t="s">
        <v>5992</v>
      </c>
      <c r="B102" s="17" t="s">
        <v>5991</v>
      </c>
      <c r="C102" s="20">
        <v>1</v>
      </c>
      <c r="D102" s="18">
        <v>115</v>
      </c>
      <c r="E102" s="20" t="s">
        <v>5990</v>
      </c>
      <c r="F102" s="17" t="s">
        <v>140</v>
      </c>
      <c r="G102" s="19" t="s">
        <v>43</v>
      </c>
      <c r="H102" s="18">
        <v>21.240000000000002</v>
      </c>
      <c r="I102" s="17" t="s">
        <v>405</v>
      </c>
      <c r="J102" s="17" t="s">
        <v>404</v>
      </c>
      <c r="K102" s="17"/>
      <c r="L102" s="17"/>
      <c r="M102" s="16" t="str">
        <f>HYPERLINK("http://slimages.macys.com/is/image/MCY/19217399 ")</f>
        <v xml:space="preserve">http://slimages.macys.com/is/image/MCY/19217399 </v>
      </c>
      <c r="N102" s="30"/>
    </row>
    <row r="103" spans="1:14" ht="60" x14ac:dyDescent="0.25">
      <c r="A103" s="19" t="s">
        <v>5989</v>
      </c>
      <c r="B103" s="17" t="s">
        <v>5988</v>
      </c>
      <c r="C103" s="20">
        <v>1</v>
      </c>
      <c r="D103" s="18">
        <v>118</v>
      </c>
      <c r="E103" s="20" t="s">
        <v>5987</v>
      </c>
      <c r="F103" s="17" t="s">
        <v>1356</v>
      </c>
      <c r="G103" s="19" t="s">
        <v>698</v>
      </c>
      <c r="H103" s="18">
        <v>21.240000000000002</v>
      </c>
      <c r="I103" s="17" t="s">
        <v>115</v>
      </c>
      <c r="J103" s="17" t="s">
        <v>742</v>
      </c>
      <c r="K103" s="17"/>
      <c r="L103" s="17"/>
      <c r="M103" s="16" t="str">
        <f>HYPERLINK("http://slimages.macys.com/is/image/MCY/18829507 ")</f>
        <v xml:space="preserve">http://slimages.macys.com/is/image/MCY/18829507 </v>
      </c>
      <c r="N103" s="30"/>
    </row>
    <row r="104" spans="1:14" ht="60" x14ac:dyDescent="0.25">
      <c r="A104" s="19" t="s">
        <v>5986</v>
      </c>
      <c r="B104" s="17" t="s">
        <v>5985</v>
      </c>
      <c r="C104" s="20">
        <v>1</v>
      </c>
      <c r="D104" s="18">
        <v>109.5</v>
      </c>
      <c r="E104" s="20" t="s">
        <v>5984</v>
      </c>
      <c r="F104" s="17" t="s">
        <v>51</v>
      </c>
      <c r="G104" s="19" t="s">
        <v>271</v>
      </c>
      <c r="H104" s="18">
        <v>20.806666666666668</v>
      </c>
      <c r="I104" s="17" t="s">
        <v>540</v>
      </c>
      <c r="J104" s="17" t="s">
        <v>105</v>
      </c>
      <c r="K104" s="17"/>
      <c r="L104" s="17"/>
      <c r="M104" s="16" t="str">
        <f>HYPERLINK("http://slimages.macys.com/is/image/MCY/19036815 ")</f>
        <v xml:space="preserve">http://slimages.macys.com/is/image/MCY/19036815 </v>
      </c>
      <c r="N104" s="30"/>
    </row>
    <row r="105" spans="1:14" ht="60" x14ac:dyDescent="0.25">
      <c r="A105" s="19" t="s">
        <v>5983</v>
      </c>
      <c r="B105" s="17" t="s">
        <v>5982</v>
      </c>
      <c r="C105" s="20">
        <v>1</v>
      </c>
      <c r="D105" s="18">
        <v>78</v>
      </c>
      <c r="E105" s="20" t="s">
        <v>4656</v>
      </c>
      <c r="F105" s="17" t="s">
        <v>23</v>
      </c>
      <c r="G105" s="19"/>
      <c r="H105" s="18">
        <v>20.8</v>
      </c>
      <c r="I105" s="17" t="s">
        <v>148</v>
      </c>
      <c r="J105" s="17" t="s">
        <v>2093</v>
      </c>
      <c r="K105" s="17"/>
      <c r="L105" s="17"/>
      <c r="M105" s="16" t="str">
        <f>HYPERLINK("http://slimages.macys.com/is/image/MCY/18868504 ")</f>
        <v xml:space="preserve">http://slimages.macys.com/is/image/MCY/18868504 </v>
      </c>
      <c r="N105" s="30"/>
    </row>
    <row r="106" spans="1:14" ht="60" x14ac:dyDescent="0.25">
      <c r="A106" s="19" t="s">
        <v>5981</v>
      </c>
      <c r="B106" s="17" t="s">
        <v>5980</v>
      </c>
      <c r="C106" s="20">
        <v>1</v>
      </c>
      <c r="D106" s="18">
        <v>81.75</v>
      </c>
      <c r="E106" s="20" t="s">
        <v>3926</v>
      </c>
      <c r="F106" s="17" t="s">
        <v>1382</v>
      </c>
      <c r="G106" s="19" t="s">
        <v>1445</v>
      </c>
      <c r="H106" s="18">
        <v>20.573333333333334</v>
      </c>
      <c r="I106" s="17" t="s">
        <v>358</v>
      </c>
      <c r="J106" s="17" t="s">
        <v>32</v>
      </c>
      <c r="K106" s="17"/>
      <c r="L106" s="17"/>
      <c r="M106" s="16" t="str">
        <f>HYPERLINK("http://slimages.macys.com/is/image/MCY/19254769 ")</f>
        <v xml:space="preserve">http://slimages.macys.com/is/image/MCY/19254769 </v>
      </c>
      <c r="N106" s="30"/>
    </row>
    <row r="107" spans="1:14" ht="60" x14ac:dyDescent="0.25">
      <c r="A107" s="19" t="s">
        <v>5979</v>
      </c>
      <c r="B107" s="17" t="s">
        <v>5978</v>
      </c>
      <c r="C107" s="20">
        <v>1</v>
      </c>
      <c r="D107" s="18">
        <v>99</v>
      </c>
      <c r="E107" s="20">
        <v>10760812</v>
      </c>
      <c r="F107" s="17" t="s">
        <v>23</v>
      </c>
      <c r="G107" s="19" t="s">
        <v>96</v>
      </c>
      <c r="H107" s="18">
        <v>19.8</v>
      </c>
      <c r="I107" s="17" t="s">
        <v>115</v>
      </c>
      <c r="J107" s="17" t="s">
        <v>1265</v>
      </c>
      <c r="K107" s="17"/>
      <c r="L107" s="17"/>
      <c r="M107" s="16" t="str">
        <f>HYPERLINK("http://slimages.macys.com/is/image/MCY/16892803 ")</f>
        <v xml:space="preserve">http://slimages.macys.com/is/image/MCY/16892803 </v>
      </c>
      <c r="N107" s="30"/>
    </row>
    <row r="108" spans="1:14" ht="60" x14ac:dyDescent="0.25">
      <c r="A108" s="19" t="s">
        <v>5977</v>
      </c>
      <c r="B108" s="17" t="s">
        <v>5976</v>
      </c>
      <c r="C108" s="20">
        <v>1</v>
      </c>
      <c r="D108" s="18">
        <v>99</v>
      </c>
      <c r="E108" s="20">
        <v>10773436</v>
      </c>
      <c r="F108" s="17" t="s">
        <v>81</v>
      </c>
      <c r="G108" s="19" t="s">
        <v>96</v>
      </c>
      <c r="H108" s="18">
        <v>19.8</v>
      </c>
      <c r="I108" s="17" t="s">
        <v>115</v>
      </c>
      <c r="J108" s="17" t="s">
        <v>1265</v>
      </c>
      <c r="K108" s="17"/>
      <c r="L108" s="17"/>
      <c r="M108" s="16" t="str">
        <f>HYPERLINK("http://slimages.macys.com/is/image/MCY/18884224 ")</f>
        <v xml:space="preserve">http://slimages.macys.com/is/image/MCY/18884224 </v>
      </c>
      <c r="N108" s="30"/>
    </row>
    <row r="109" spans="1:14" ht="60" x14ac:dyDescent="0.25">
      <c r="A109" s="19" t="s">
        <v>5975</v>
      </c>
      <c r="B109" s="17" t="s">
        <v>5974</v>
      </c>
      <c r="C109" s="20">
        <v>7</v>
      </c>
      <c r="D109" s="18">
        <v>99</v>
      </c>
      <c r="E109" s="20">
        <v>10760812</v>
      </c>
      <c r="F109" s="17" t="s">
        <v>23</v>
      </c>
      <c r="G109" s="19" t="s">
        <v>898</v>
      </c>
      <c r="H109" s="18">
        <v>19.8</v>
      </c>
      <c r="I109" s="17" t="s">
        <v>115</v>
      </c>
      <c r="J109" s="17" t="s">
        <v>1265</v>
      </c>
      <c r="K109" s="17"/>
      <c r="L109" s="17"/>
      <c r="M109" s="16" t="str">
        <f>HYPERLINK("http://slimages.macys.com/is/image/MCY/16892803 ")</f>
        <v xml:space="preserve">http://slimages.macys.com/is/image/MCY/16892803 </v>
      </c>
      <c r="N109" s="30"/>
    </row>
    <row r="110" spans="1:14" ht="60" x14ac:dyDescent="0.25">
      <c r="A110" s="19" t="s">
        <v>3922</v>
      </c>
      <c r="B110" s="17" t="s">
        <v>3921</v>
      </c>
      <c r="C110" s="20">
        <v>1</v>
      </c>
      <c r="D110" s="18">
        <v>74.25</v>
      </c>
      <c r="E110" s="20">
        <v>10649348</v>
      </c>
      <c r="F110" s="17" t="s">
        <v>51</v>
      </c>
      <c r="G110" s="19" t="s">
        <v>271</v>
      </c>
      <c r="H110" s="18">
        <v>19.8</v>
      </c>
      <c r="I110" s="17" t="s">
        <v>358</v>
      </c>
      <c r="J110" s="17" t="s">
        <v>143</v>
      </c>
      <c r="K110" s="17"/>
      <c r="L110" s="17"/>
      <c r="M110" s="16" t="str">
        <f>HYPERLINK("http://slimages.macys.com/is/image/MCY/8796552 ")</f>
        <v xml:space="preserve">http://slimages.macys.com/is/image/MCY/8796552 </v>
      </c>
      <c r="N110" s="30"/>
    </row>
    <row r="111" spans="1:14" ht="60" x14ac:dyDescent="0.25">
      <c r="A111" s="19" t="s">
        <v>5973</v>
      </c>
      <c r="B111" s="17" t="s">
        <v>5972</v>
      </c>
      <c r="C111" s="20">
        <v>1</v>
      </c>
      <c r="D111" s="18">
        <v>89.5</v>
      </c>
      <c r="E111" s="20" t="s">
        <v>5971</v>
      </c>
      <c r="F111" s="17" t="s">
        <v>51</v>
      </c>
      <c r="G111" s="19" t="s">
        <v>682</v>
      </c>
      <c r="H111" s="18">
        <v>19.693333333333335</v>
      </c>
      <c r="I111" s="17" t="s">
        <v>654</v>
      </c>
      <c r="J111" s="17" t="s">
        <v>653</v>
      </c>
      <c r="K111" s="17"/>
      <c r="L111" s="17"/>
      <c r="M111" s="16" t="str">
        <f>HYPERLINK("http://slimages.macys.com/is/image/MCY/18999632 ")</f>
        <v xml:space="preserve">http://slimages.macys.com/is/image/MCY/18999632 </v>
      </c>
      <c r="N111" s="30"/>
    </row>
    <row r="112" spans="1:14" ht="60" x14ac:dyDescent="0.25">
      <c r="A112" s="19" t="s">
        <v>5970</v>
      </c>
      <c r="B112" s="17" t="s">
        <v>5969</v>
      </c>
      <c r="C112" s="20">
        <v>1</v>
      </c>
      <c r="D112" s="18">
        <v>89</v>
      </c>
      <c r="E112" s="20" t="s">
        <v>5954</v>
      </c>
      <c r="F112" s="17" t="s">
        <v>716</v>
      </c>
      <c r="G112" s="19"/>
      <c r="H112" s="18">
        <v>19.64</v>
      </c>
      <c r="I112" s="17" t="s">
        <v>49</v>
      </c>
      <c r="J112" s="17" t="s">
        <v>48</v>
      </c>
      <c r="K112" s="17"/>
      <c r="L112" s="17"/>
      <c r="M112" s="16" t="str">
        <f>HYPERLINK("http://slimages.macys.com/is/image/MCY/19635020 ")</f>
        <v xml:space="preserve">http://slimages.macys.com/is/image/MCY/19635020 </v>
      </c>
      <c r="N112" s="30"/>
    </row>
    <row r="113" spans="1:14" ht="60" x14ac:dyDescent="0.25">
      <c r="A113" s="19" t="s">
        <v>4631</v>
      </c>
      <c r="B113" s="17" t="s">
        <v>4630</v>
      </c>
      <c r="C113" s="20">
        <v>1</v>
      </c>
      <c r="D113" s="18">
        <v>89</v>
      </c>
      <c r="E113" s="20" t="s">
        <v>4629</v>
      </c>
      <c r="F113" s="17" t="s">
        <v>716</v>
      </c>
      <c r="G113" s="19" t="s">
        <v>22</v>
      </c>
      <c r="H113" s="18">
        <v>19.64</v>
      </c>
      <c r="I113" s="17" t="s">
        <v>49</v>
      </c>
      <c r="J113" s="17" t="s">
        <v>48</v>
      </c>
      <c r="K113" s="17"/>
      <c r="L113" s="17"/>
      <c r="M113" s="16" t="str">
        <f>HYPERLINK("http://slimages.macys.com/is/image/MCY/18990333 ")</f>
        <v xml:space="preserve">http://slimages.macys.com/is/image/MCY/18990333 </v>
      </c>
      <c r="N113" s="30"/>
    </row>
    <row r="114" spans="1:14" ht="60" x14ac:dyDescent="0.25">
      <c r="A114" s="19" t="s">
        <v>5968</v>
      </c>
      <c r="B114" s="17" t="s">
        <v>5967</v>
      </c>
      <c r="C114" s="20">
        <v>1</v>
      </c>
      <c r="D114" s="18">
        <v>89</v>
      </c>
      <c r="E114" s="20" t="s">
        <v>2053</v>
      </c>
      <c r="F114" s="17" t="s">
        <v>23</v>
      </c>
      <c r="G114" s="19" t="s">
        <v>22</v>
      </c>
      <c r="H114" s="18">
        <v>19.64</v>
      </c>
      <c r="I114" s="17" t="s">
        <v>49</v>
      </c>
      <c r="J114" s="17" t="s">
        <v>48</v>
      </c>
      <c r="K114" s="17"/>
      <c r="L114" s="17"/>
      <c r="M114" s="16" t="str">
        <f>HYPERLINK("http://slimages.macys.com/is/image/MCY/19352409 ")</f>
        <v xml:space="preserve">http://slimages.macys.com/is/image/MCY/19352409 </v>
      </c>
      <c r="N114" s="30"/>
    </row>
    <row r="115" spans="1:14" ht="60" x14ac:dyDescent="0.25">
      <c r="A115" s="19" t="s">
        <v>5966</v>
      </c>
      <c r="B115" s="17" t="s">
        <v>5965</v>
      </c>
      <c r="C115" s="20">
        <v>1</v>
      </c>
      <c r="D115" s="18">
        <v>89</v>
      </c>
      <c r="E115" s="20" t="s">
        <v>3914</v>
      </c>
      <c r="F115" s="17" t="s">
        <v>1536</v>
      </c>
      <c r="G115" s="19" t="s">
        <v>101</v>
      </c>
      <c r="H115" s="18">
        <v>19.64</v>
      </c>
      <c r="I115" s="17" t="s">
        <v>49</v>
      </c>
      <c r="J115" s="17" t="s">
        <v>48</v>
      </c>
      <c r="K115" s="17"/>
      <c r="L115" s="17"/>
      <c r="M115" s="16" t="str">
        <f>HYPERLINK("http://slimages.macys.com/is/image/MCY/19644624 ")</f>
        <v xml:space="preserve">http://slimages.macys.com/is/image/MCY/19644624 </v>
      </c>
      <c r="N115" s="30"/>
    </row>
    <row r="116" spans="1:14" ht="60" x14ac:dyDescent="0.25">
      <c r="A116" s="19" t="s">
        <v>5964</v>
      </c>
      <c r="B116" s="17" t="s">
        <v>5963</v>
      </c>
      <c r="C116" s="20">
        <v>1</v>
      </c>
      <c r="D116" s="18">
        <v>89</v>
      </c>
      <c r="E116" s="20" t="s">
        <v>5954</v>
      </c>
      <c r="F116" s="17" t="s">
        <v>716</v>
      </c>
      <c r="G116" s="19"/>
      <c r="H116" s="18">
        <v>19.64</v>
      </c>
      <c r="I116" s="17" t="s">
        <v>49</v>
      </c>
      <c r="J116" s="17" t="s">
        <v>48</v>
      </c>
      <c r="K116" s="17"/>
      <c r="L116" s="17"/>
      <c r="M116" s="16" t="str">
        <f>HYPERLINK("http://slimages.macys.com/is/image/MCY/19635020 ")</f>
        <v xml:space="preserve">http://slimages.macys.com/is/image/MCY/19635020 </v>
      </c>
      <c r="N116" s="30"/>
    </row>
    <row r="117" spans="1:14" ht="60" x14ac:dyDescent="0.25">
      <c r="A117" s="19" t="s">
        <v>5962</v>
      </c>
      <c r="B117" s="17" t="s">
        <v>5961</v>
      </c>
      <c r="C117" s="20">
        <v>1</v>
      </c>
      <c r="D117" s="18">
        <v>89</v>
      </c>
      <c r="E117" s="20" t="s">
        <v>5954</v>
      </c>
      <c r="F117" s="17" t="s">
        <v>716</v>
      </c>
      <c r="G117" s="19" t="s">
        <v>419</v>
      </c>
      <c r="H117" s="18">
        <v>19.64</v>
      </c>
      <c r="I117" s="17" t="s">
        <v>49</v>
      </c>
      <c r="J117" s="17" t="s">
        <v>48</v>
      </c>
      <c r="K117" s="17"/>
      <c r="L117" s="17"/>
      <c r="M117" s="16" t="str">
        <f>HYPERLINK("http://slimages.macys.com/is/image/MCY/19635020 ")</f>
        <v xml:space="preserve">http://slimages.macys.com/is/image/MCY/19635020 </v>
      </c>
      <c r="N117" s="30"/>
    </row>
    <row r="118" spans="1:14" ht="60" x14ac:dyDescent="0.25">
      <c r="A118" s="19" t="s">
        <v>5960</v>
      </c>
      <c r="B118" s="17" t="s">
        <v>5959</v>
      </c>
      <c r="C118" s="20">
        <v>1</v>
      </c>
      <c r="D118" s="18">
        <v>89</v>
      </c>
      <c r="E118" s="20" t="s">
        <v>2056</v>
      </c>
      <c r="F118" s="17" t="s">
        <v>51</v>
      </c>
      <c r="G118" s="19" t="s">
        <v>22</v>
      </c>
      <c r="H118" s="18">
        <v>19.64</v>
      </c>
      <c r="I118" s="17" t="s">
        <v>49</v>
      </c>
      <c r="J118" s="17" t="s">
        <v>48</v>
      </c>
      <c r="K118" s="17"/>
      <c r="L118" s="17"/>
      <c r="M118" s="16" t="str">
        <f>HYPERLINK("http://slimages.macys.com/is/image/MCY/18901542 ")</f>
        <v xml:space="preserve">http://slimages.macys.com/is/image/MCY/18901542 </v>
      </c>
      <c r="N118" s="30"/>
    </row>
    <row r="119" spans="1:14" ht="60" x14ac:dyDescent="0.25">
      <c r="A119" s="19" t="s">
        <v>5958</v>
      </c>
      <c r="B119" s="17" t="s">
        <v>5957</v>
      </c>
      <c r="C119" s="20">
        <v>1</v>
      </c>
      <c r="D119" s="18">
        <v>89</v>
      </c>
      <c r="E119" s="20" t="s">
        <v>5954</v>
      </c>
      <c r="F119" s="17" t="s">
        <v>716</v>
      </c>
      <c r="G119" s="19"/>
      <c r="H119" s="18">
        <v>19.64</v>
      </c>
      <c r="I119" s="17" t="s">
        <v>49</v>
      </c>
      <c r="J119" s="17" t="s">
        <v>48</v>
      </c>
      <c r="K119" s="17"/>
      <c r="L119" s="17"/>
      <c r="M119" s="16" t="str">
        <f>HYPERLINK("http://slimages.macys.com/is/image/MCY/19635020 ")</f>
        <v xml:space="preserve">http://slimages.macys.com/is/image/MCY/19635020 </v>
      </c>
      <c r="N119" s="30"/>
    </row>
    <row r="120" spans="1:14" ht="60" x14ac:dyDescent="0.25">
      <c r="A120" s="19" t="s">
        <v>5956</v>
      </c>
      <c r="B120" s="17" t="s">
        <v>5955</v>
      </c>
      <c r="C120" s="20">
        <v>1</v>
      </c>
      <c r="D120" s="18">
        <v>89</v>
      </c>
      <c r="E120" s="20" t="s">
        <v>5954</v>
      </c>
      <c r="F120" s="17" t="s">
        <v>716</v>
      </c>
      <c r="G120" s="19"/>
      <c r="H120" s="18">
        <v>19.64</v>
      </c>
      <c r="I120" s="17" t="s">
        <v>49</v>
      </c>
      <c r="J120" s="17" t="s">
        <v>48</v>
      </c>
      <c r="K120" s="17"/>
      <c r="L120" s="17"/>
      <c r="M120" s="16" t="str">
        <f>HYPERLINK("http://slimages.macys.com/is/image/MCY/19635020 ")</f>
        <v xml:space="preserve">http://slimages.macys.com/is/image/MCY/19635020 </v>
      </c>
      <c r="N120" s="30"/>
    </row>
    <row r="121" spans="1:14" ht="60" x14ac:dyDescent="0.25">
      <c r="A121" s="19" t="s">
        <v>5953</v>
      </c>
      <c r="B121" s="17" t="s">
        <v>5952</v>
      </c>
      <c r="C121" s="20">
        <v>1</v>
      </c>
      <c r="D121" s="18">
        <v>99</v>
      </c>
      <c r="E121" s="20" t="s">
        <v>5951</v>
      </c>
      <c r="F121" s="17" t="s">
        <v>345</v>
      </c>
      <c r="G121" s="19" t="s">
        <v>43</v>
      </c>
      <c r="H121" s="18">
        <v>19.406666666666666</v>
      </c>
      <c r="I121" s="17" t="s">
        <v>492</v>
      </c>
      <c r="J121" s="17" t="s">
        <v>491</v>
      </c>
      <c r="K121" s="17"/>
      <c r="L121" s="17"/>
      <c r="M121" s="16" t="str">
        <f>HYPERLINK("http://slimages.macys.com/is/image/MCY/19410581 ")</f>
        <v xml:space="preserve">http://slimages.macys.com/is/image/MCY/19410581 </v>
      </c>
      <c r="N121" s="30"/>
    </row>
    <row r="122" spans="1:14" ht="60" x14ac:dyDescent="0.25">
      <c r="A122" s="19" t="s">
        <v>5950</v>
      </c>
      <c r="B122" s="17" t="s">
        <v>5949</v>
      </c>
      <c r="C122" s="20">
        <v>1</v>
      </c>
      <c r="D122" s="18">
        <v>89</v>
      </c>
      <c r="E122" s="20" t="s">
        <v>5948</v>
      </c>
      <c r="F122" s="17" t="s">
        <v>51</v>
      </c>
      <c r="G122" s="19" t="s">
        <v>62</v>
      </c>
      <c r="H122" s="18">
        <v>19.406666666666666</v>
      </c>
      <c r="I122" s="17" t="s">
        <v>492</v>
      </c>
      <c r="J122" s="17" t="s">
        <v>491</v>
      </c>
      <c r="K122" s="17"/>
      <c r="L122" s="17"/>
      <c r="M122" s="16" t="str">
        <f>HYPERLINK("http://slimages.macys.com/is/image/MCY/19792335 ")</f>
        <v xml:space="preserve">http://slimages.macys.com/is/image/MCY/19792335 </v>
      </c>
      <c r="N122" s="30"/>
    </row>
    <row r="123" spans="1:14" ht="108" x14ac:dyDescent="0.25">
      <c r="A123" s="19" t="s">
        <v>5947</v>
      </c>
      <c r="B123" s="17" t="s">
        <v>5946</v>
      </c>
      <c r="C123" s="20">
        <v>2</v>
      </c>
      <c r="D123" s="18">
        <v>79</v>
      </c>
      <c r="E123" s="20" t="s">
        <v>3906</v>
      </c>
      <c r="F123" s="17"/>
      <c r="G123" s="19" t="s">
        <v>773</v>
      </c>
      <c r="H123" s="18">
        <v>19.226666666666667</v>
      </c>
      <c r="I123" s="17" t="s">
        <v>1363</v>
      </c>
      <c r="J123" s="17" t="s">
        <v>1362</v>
      </c>
      <c r="K123" s="17" t="s">
        <v>637</v>
      </c>
      <c r="L123" s="17" t="s">
        <v>4558</v>
      </c>
      <c r="M123" s="16" t="str">
        <f>HYPERLINK("http://images.bloomingdales.com/is/image/BLM/11476528 ")</f>
        <v xml:space="preserve">http://images.bloomingdales.com/is/image/BLM/11476528 </v>
      </c>
      <c r="N123" s="30"/>
    </row>
    <row r="124" spans="1:14" ht="60" x14ac:dyDescent="0.25">
      <c r="A124" s="19" t="s">
        <v>5945</v>
      </c>
      <c r="B124" s="17" t="s">
        <v>5944</v>
      </c>
      <c r="C124" s="20">
        <v>1</v>
      </c>
      <c r="D124" s="18">
        <v>88</v>
      </c>
      <c r="E124" s="20" t="s">
        <v>5943</v>
      </c>
      <c r="F124" s="17" t="s">
        <v>23</v>
      </c>
      <c r="G124" s="19" t="s">
        <v>197</v>
      </c>
      <c r="H124" s="18">
        <v>19.206666666666667</v>
      </c>
      <c r="I124" s="17" t="s">
        <v>153</v>
      </c>
      <c r="J124" s="17" t="s">
        <v>153</v>
      </c>
      <c r="K124" s="17"/>
      <c r="L124" s="17"/>
      <c r="M124" s="16" t="str">
        <f>HYPERLINK("http://slimages.macys.com/is/image/MCY/18640890 ")</f>
        <v xml:space="preserve">http://slimages.macys.com/is/image/MCY/18640890 </v>
      </c>
      <c r="N124" s="30"/>
    </row>
    <row r="125" spans="1:14" ht="60" x14ac:dyDescent="0.25">
      <c r="A125" s="19" t="s">
        <v>5942</v>
      </c>
      <c r="B125" s="17" t="s">
        <v>5941</v>
      </c>
      <c r="C125" s="20">
        <v>1</v>
      </c>
      <c r="D125" s="18">
        <v>109</v>
      </c>
      <c r="E125" s="20" t="s">
        <v>5940</v>
      </c>
      <c r="F125" s="17" t="s">
        <v>216</v>
      </c>
      <c r="G125" s="19" t="s">
        <v>5939</v>
      </c>
      <c r="H125" s="18">
        <v>19</v>
      </c>
      <c r="I125" s="17" t="s">
        <v>550</v>
      </c>
      <c r="J125" s="17" t="s">
        <v>1090</v>
      </c>
      <c r="K125" s="17" t="s">
        <v>389</v>
      </c>
      <c r="L125" s="17" t="s">
        <v>5938</v>
      </c>
      <c r="M125" s="16" t="str">
        <f>HYPERLINK("http://slimages.macys.com/is/image/MCY/9133404 ")</f>
        <v xml:space="preserve">http://slimages.macys.com/is/image/MCY/9133404 </v>
      </c>
      <c r="N125" s="30"/>
    </row>
    <row r="126" spans="1:14" ht="60" x14ac:dyDescent="0.25">
      <c r="A126" s="19" t="s">
        <v>5937</v>
      </c>
      <c r="B126" s="17" t="s">
        <v>5936</v>
      </c>
      <c r="C126" s="20">
        <v>1</v>
      </c>
      <c r="D126" s="18">
        <v>89</v>
      </c>
      <c r="E126" s="20">
        <v>7020309</v>
      </c>
      <c r="F126" s="17" t="s">
        <v>58</v>
      </c>
      <c r="G126" s="19" t="s">
        <v>857</v>
      </c>
      <c r="H126" s="18">
        <v>18.986666666666668</v>
      </c>
      <c r="I126" s="17" t="s">
        <v>111</v>
      </c>
      <c r="J126" s="17" t="s">
        <v>110</v>
      </c>
      <c r="K126" s="17"/>
      <c r="L126" s="17"/>
      <c r="M126" s="16" t="str">
        <f>HYPERLINK("http://slimages.macys.com/is/image/MCY/16687760 ")</f>
        <v xml:space="preserve">http://slimages.macys.com/is/image/MCY/16687760 </v>
      </c>
      <c r="N126" s="30"/>
    </row>
    <row r="127" spans="1:14" ht="60" x14ac:dyDescent="0.25">
      <c r="A127" s="19" t="s">
        <v>5935</v>
      </c>
      <c r="B127" s="17" t="s">
        <v>5934</v>
      </c>
      <c r="C127" s="20">
        <v>1</v>
      </c>
      <c r="D127" s="18">
        <v>89</v>
      </c>
      <c r="E127" s="20">
        <v>7020309</v>
      </c>
      <c r="F127" s="17" t="s">
        <v>58</v>
      </c>
      <c r="G127" s="19" t="s">
        <v>116</v>
      </c>
      <c r="H127" s="18">
        <v>18.986666666666668</v>
      </c>
      <c r="I127" s="17" t="s">
        <v>111</v>
      </c>
      <c r="J127" s="17" t="s">
        <v>110</v>
      </c>
      <c r="K127" s="17"/>
      <c r="L127" s="17"/>
      <c r="M127" s="16" t="str">
        <f>HYPERLINK("http://slimages.macys.com/is/image/MCY/16687760 ")</f>
        <v xml:space="preserve">http://slimages.macys.com/is/image/MCY/16687760 </v>
      </c>
      <c r="N127" s="30"/>
    </row>
    <row r="128" spans="1:14" ht="60" x14ac:dyDescent="0.25">
      <c r="A128" s="19" t="s">
        <v>5933</v>
      </c>
      <c r="B128" s="17" t="s">
        <v>5932</v>
      </c>
      <c r="C128" s="20">
        <v>1</v>
      </c>
      <c r="D128" s="18">
        <v>66.75</v>
      </c>
      <c r="E128" s="20">
        <v>10802274</v>
      </c>
      <c r="F128" s="17" t="s">
        <v>23</v>
      </c>
      <c r="G128" s="19" t="s">
        <v>351</v>
      </c>
      <c r="H128" s="18">
        <v>18.693333333333332</v>
      </c>
      <c r="I128" s="17" t="s">
        <v>358</v>
      </c>
      <c r="J128" s="17" t="s">
        <v>143</v>
      </c>
      <c r="K128" s="17"/>
      <c r="L128" s="17"/>
      <c r="M128" s="16" t="str">
        <f>HYPERLINK("http://slimages.macys.com/is/image/MCY/19286663 ")</f>
        <v xml:space="preserve">http://slimages.macys.com/is/image/MCY/19286663 </v>
      </c>
      <c r="N128" s="30"/>
    </row>
    <row r="129" spans="1:14" ht="60" x14ac:dyDescent="0.25">
      <c r="A129" s="19" t="s">
        <v>5931</v>
      </c>
      <c r="B129" s="17" t="s">
        <v>5930</v>
      </c>
      <c r="C129" s="20">
        <v>1</v>
      </c>
      <c r="D129" s="18">
        <v>74.25</v>
      </c>
      <c r="E129" s="20" t="s">
        <v>5929</v>
      </c>
      <c r="F129" s="17" t="s">
        <v>1382</v>
      </c>
      <c r="G129" s="19" t="s">
        <v>1968</v>
      </c>
      <c r="H129" s="18">
        <v>18.686666666666667</v>
      </c>
      <c r="I129" s="17" t="s">
        <v>33</v>
      </c>
      <c r="J129" s="17" t="s">
        <v>32</v>
      </c>
      <c r="K129" s="17"/>
      <c r="L129" s="17"/>
      <c r="M129" s="16" t="str">
        <f>HYPERLINK("http://slimages.macys.com/is/image/MCY/19321428 ")</f>
        <v xml:space="preserve">http://slimages.macys.com/is/image/MCY/19321428 </v>
      </c>
      <c r="N129" s="30"/>
    </row>
    <row r="130" spans="1:14" ht="60" x14ac:dyDescent="0.25">
      <c r="A130" s="19" t="s">
        <v>5178</v>
      </c>
      <c r="B130" s="17" t="s">
        <v>5177</v>
      </c>
      <c r="C130" s="20">
        <v>1</v>
      </c>
      <c r="D130" s="18">
        <v>74.25</v>
      </c>
      <c r="E130" s="20" t="s">
        <v>1296</v>
      </c>
      <c r="F130" s="17" t="s">
        <v>282</v>
      </c>
      <c r="G130" s="19" t="s">
        <v>1191</v>
      </c>
      <c r="H130" s="18">
        <v>18.686666666666667</v>
      </c>
      <c r="I130" s="17" t="s">
        <v>358</v>
      </c>
      <c r="J130" s="17" t="s">
        <v>32</v>
      </c>
      <c r="K130" s="17"/>
      <c r="L130" s="17"/>
      <c r="M130" s="16" t="str">
        <f>HYPERLINK("http://slimages.macys.com/is/image/MCY/19728327 ")</f>
        <v xml:space="preserve">http://slimages.macys.com/is/image/MCY/19728327 </v>
      </c>
      <c r="N130" s="30"/>
    </row>
    <row r="131" spans="1:14" ht="60" x14ac:dyDescent="0.25">
      <c r="A131" s="19" t="s">
        <v>3888</v>
      </c>
      <c r="B131" s="17" t="s">
        <v>3887</v>
      </c>
      <c r="C131" s="20">
        <v>1</v>
      </c>
      <c r="D131" s="18">
        <v>74.25</v>
      </c>
      <c r="E131" s="20" t="s">
        <v>1296</v>
      </c>
      <c r="F131" s="17" t="s">
        <v>282</v>
      </c>
      <c r="G131" s="19" t="s">
        <v>1292</v>
      </c>
      <c r="H131" s="18">
        <v>18.686666666666667</v>
      </c>
      <c r="I131" s="17" t="s">
        <v>358</v>
      </c>
      <c r="J131" s="17" t="s">
        <v>32</v>
      </c>
      <c r="K131" s="17"/>
      <c r="L131" s="17"/>
      <c r="M131" s="16" t="str">
        <f>HYPERLINK("http://slimages.macys.com/is/image/MCY/19728327 ")</f>
        <v xml:space="preserve">http://slimages.macys.com/is/image/MCY/19728327 </v>
      </c>
      <c r="N131" s="30"/>
    </row>
    <row r="132" spans="1:14" ht="60" x14ac:dyDescent="0.25">
      <c r="A132" s="19" t="s">
        <v>5928</v>
      </c>
      <c r="B132" s="17" t="s">
        <v>5927</v>
      </c>
      <c r="C132" s="20">
        <v>1</v>
      </c>
      <c r="D132" s="18">
        <v>99.99</v>
      </c>
      <c r="E132" s="20">
        <v>50039257</v>
      </c>
      <c r="F132" s="17" t="s">
        <v>51</v>
      </c>
      <c r="G132" s="19" t="s">
        <v>1292</v>
      </c>
      <c r="H132" s="18">
        <v>18.666666666666668</v>
      </c>
      <c r="I132" s="17" t="s">
        <v>879</v>
      </c>
      <c r="J132" s="17" t="s">
        <v>850</v>
      </c>
      <c r="K132" s="17"/>
      <c r="L132" s="17"/>
      <c r="M132" s="16" t="str">
        <f>HYPERLINK("http://slimages.macys.com/is/image/MCY/16602576 ")</f>
        <v xml:space="preserve">http://slimages.macys.com/is/image/MCY/16602576 </v>
      </c>
      <c r="N132" s="30"/>
    </row>
    <row r="133" spans="1:14" ht="120" x14ac:dyDescent="0.25">
      <c r="A133" s="19" t="s">
        <v>5926</v>
      </c>
      <c r="B133" s="17" t="s">
        <v>5925</v>
      </c>
      <c r="C133" s="20">
        <v>1</v>
      </c>
      <c r="D133" s="18">
        <v>74.25</v>
      </c>
      <c r="E133" s="20" t="s">
        <v>2848</v>
      </c>
      <c r="F133" s="17" t="s">
        <v>35</v>
      </c>
      <c r="G133" s="19" t="s">
        <v>1292</v>
      </c>
      <c r="H133" s="18">
        <v>18.559999999999999</v>
      </c>
      <c r="I133" s="17" t="s">
        <v>358</v>
      </c>
      <c r="J133" s="17" t="s">
        <v>32</v>
      </c>
      <c r="K133" s="17" t="s">
        <v>389</v>
      </c>
      <c r="L133" s="17" t="s">
        <v>2847</v>
      </c>
      <c r="M133" s="16" t="str">
        <f>HYPERLINK("http://slimages.macys.com/is/image/MCY/16092106 ")</f>
        <v xml:space="preserve">http://slimages.macys.com/is/image/MCY/16092106 </v>
      </c>
      <c r="N133" s="30"/>
    </row>
    <row r="134" spans="1:14" ht="120" x14ac:dyDescent="0.25">
      <c r="A134" s="19" t="s">
        <v>2850</v>
      </c>
      <c r="B134" s="17" t="s">
        <v>2849</v>
      </c>
      <c r="C134" s="20">
        <v>1</v>
      </c>
      <c r="D134" s="18">
        <v>74.25</v>
      </c>
      <c r="E134" s="20" t="s">
        <v>2848</v>
      </c>
      <c r="F134" s="17" t="s">
        <v>35</v>
      </c>
      <c r="G134" s="19" t="s">
        <v>916</v>
      </c>
      <c r="H134" s="18">
        <v>18.559999999999999</v>
      </c>
      <c r="I134" s="17" t="s">
        <v>358</v>
      </c>
      <c r="J134" s="17" t="s">
        <v>32</v>
      </c>
      <c r="K134" s="17" t="s">
        <v>389</v>
      </c>
      <c r="L134" s="17" t="s">
        <v>2847</v>
      </c>
      <c r="M134" s="16" t="str">
        <f>HYPERLINK("http://slimages.macys.com/is/image/MCY/16092106 ")</f>
        <v xml:space="preserve">http://slimages.macys.com/is/image/MCY/16092106 </v>
      </c>
      <c r="N134" s="30"/>
    </row>
    <row r="135" spans="1:14" ht="120" x14ac:dyDescent="0.25">
      <c r="A135" s="19" t="s">
        <v>5924</v>
      </c>
      <c r="B135" s="17" t="s">
        <v>5923</v>
      </c>
      <c r="C135" s="20">
        <v>1</v>
      </c>
      <c r="D135" s="18">
        <v>74.25</v>
      </c>
      <c r="E135" s="20" t="s">
        <v>2848</v>
      </c>
      <c r="F135" s="17" t="s">
        <v>35</v>
      </c>
      <c r="G135" s="19" t="s">
        <v>880</v>
      </c>
      <c r="H135" s="18">
        <v>18.559999999999999</v>
      </c>
      <c r="I135" s="17" t="s">
        <v>358</v>
      </c>
      <c r="J135" s="17" t="s">
        <v>32</v>
      </c>
      <c r="K135" s="17" t="s">
        <v>389</v>
      </c>
      <c r="L135" s="17" t="s">
        <v>2847</v>
      </c>
      <c r="M135" s="16" t="str">
        <f>HYPERLINK("http://slimages.macys.com/is/image/MCY/16092106 ")</f>
        <v xml:space="preserve">http://slimages.macys.com/is/image/MCY/16092106 </v>
      </c>
      <c r="N135" s="30"/>
    </row>
    <row r="136" spans="1:14" ht="60" x14ac:dyDescent="0.25">
      <c r="A136" s="19" t="s">
        <v>5922</v>
      </c>
      <c r="B136" s="17" t="s">
        <v>5921</v>
      </c>
      <c r="C136" s="20">
        <v>1</v>
      </c>
      <c r="D136" s="18">
        <v>99</v>
      </c>
      <c r="E136" s="20" t="s">
        <v>5920</v>
      </c>
      <c r="F136" s="17" t="s">
        <v>58</v>
      </c>
      <c r="G136" s="19" t="s">
        <v>4021</v>
      </c>
      <c r="H136" s="18">
        <v>18.48</v>
      </c>
      <c r="I136" s="17" t="s">
        <v>33</v>
      </c>
      <c r="J136" s="17" t="s">
        <v>404</v>
      </c>
      <c r="K136" s="17"/>
      <c r="L136" s="17"/>
      <c r="M136" s="16" t="str">
        <f>HYPERLINK("http://slimages.macys.com/is/image/MCY/19530026 ")</f>
        <v xml:space="preserve">http://slimages.macys.com/is/image/MCY/19530026 </v>
      </c>
      <c r="N136" s="30"/>
    </row>
    <row r="137" spans="1:14" ht="60" x14ac:dyDescent="0.25">
      <c r="A137" s="19" t="s">
        <v>5919</v>
      </c>
      <c r="B137" s="17" t="s">
        <v>5918</v>
      </c>
      <c r="C137" s="20">
        <v>1</v>
      </c>
      <c r="D137" s="18">
        <v>99</v>
      </c>
      <c r="E137" s="20">
        <v>10802092</v>
      </c>
      <c r="F137" s="17" t="s">
        <v>51</v>
      </c>
      <c r="G137" s="19" t="s">
        <v>96</v>
      </c>
      <c r="H137" s="18">
        <v>18.48</v>
      </c>
      <c r="I137" s="17" t="s">
        <v>115</v>
      </c>
      <c r="J137" s="17" t="s">
        <v>114</v>
      </c>
      <c r="K137" s="17"/>
      <c r="L137" s="17"/>
      <c r="M137" s="16" t="str">
        <f>HYPERLINK("http://slimages.macys.com/is/image/MCY/18720267 ")</f>
        <v xml:space="preserve">http://slimages.macys.com/is/image/MCY/18720267 </v>
      </c>
      <c r="N137" s="30"/>
    </row>
    <row r="138" spans="1:14" ht="60" x14ac:dyDescent="0.25">
      <c r="A138" s="19" t="s">
        <v>5917</v>
      </c>
      <c r="B138" s="17" t="s">
        <v>5916</v>
      </c>
      <c r="C138" s="20">
        <v>1</v>
      </c>
      <c r="D138" s="18">
        <v>99</v>
      </c>
      <c r="E138" s="20" t="s">
        <v>5915</v>
      </c>
      <c r="F138" s="17" t="s">
        <v>23</v>
      </c>
      <c r="G138" s="19" t="s">
        <v>74</v>
      </c>
      <c r="H138" s="18">
        <v>18.28</v>
      </c>
      <c r="I138" s="17" t="s">
        <v>405</v>
      </c>
      <c r="J138" s="17" t="s">
        <v>404</v>
      </c>
      <c r="K138" s="17"/>
      <c r="L138" s="17"/>
      <c r="M138" s="16" t="str">
        <f>HYPERLINK("http://slimages.macys.com/is/image/MCY/18867939 ")</f>
        <v xml:space="preserve">http://slimages.macys.com/is/image/MCY/18867939 </v>
      </c>
      <c r="N138" s="30"/>
    </row>
    <row r="139" spans="1:14" ht="60" x14ac:dyDescent="0.25">
      <c r="A139" s="19" t="s">
        <v>2839</v>
      </c>
      <c r="B139" s="17" t="s">
        <v>2838</v>
      </c>
      <c r="C139" s="20">
        <v>1</v>
      </c>
      <c r="D139" s="18">
        <v>69.3</v>
      </c>
      <c r="E139" s="20" t="s">
        <v>2837</v>
      </c>
      <c r="F139" s="17" t="s">
        <v>544</v>
      </c>
      <c r="G139" s="19" t="s">
        <v>69</v>
      </c>
      <c r="H139" s="18">
        <v>18.080000000000002</v>
      </c>
      <c r="I139" s="17" t="s">
        <v>42</v>
      </c>
      <c r="J139" s="17" t="s">
        <v>41</v>
      </c>
      <c r="K139" s="17"/>
      <c r="L139" s="17"/>
      <c r="M139" s="16" t="str">
        <f>HYPERLINK("http://slimages.macys.com/is/image/MCY/18917123 ")</f>
        <v xml:space="preserve">http://slimages.macys.com/is/image/MCY/18917123 </v>
      </c>
      <c r="N139" s="30"/>
    </row>
    <row r="140" spans="1:14" ht="60" x14ac:dyDescent="0.25">
      <c r="A140" s="19" t="s">
        <v>5914</v>
      </c>
      <c r="B140" s="17" t="s">
        <v>5913</v>
      </c>
      <c r="C140" s="20">
        <v>1</v>
      </c>
      <c r="D140" s="18">
        <v>89.5</v>
      </c>
      <c r="E140" s="20" t="s">
        <v>5162</v>
      </c>
      <c r="F140" s="17" t="s">
        <v>23</v>
      </c>
      <c r="G140" s="19" t="s">
        <v>96</v>
      </c>
      <c r="H140" s="18">
        <v>18.033333333333335</v>
      </c>
      <c r="I140" s="17" t="s">
        <v>106</v>
      </c>
      <c r="J140" s="17" t="s">
        <v>105</v>
      </c>
      <c r="K140" s="17"/>
      <c r="L140" s="17"/>
      <c r="M140" s="16" t="str">
        <f>HYPERLINK("http://slimages.macys.com/is/image/MCY/19387364 ")</f>
        <v xml:space="preserve">http://slimages.macys.com/is/image/MCY/19387364 </v>
      </c>
      <c r="N140" s="30"/>
    </row>
    <row r="141" spans="1:14" ht="60" x14ac:dyDescent="0.25">
      <c r="A141" s="19" t="s">
        <v>5912</v>
      </c>
      <c r="B141" s="17" t="s">
        <v>5911</v>
      </c>
      <c r="C141" s="20">
        <v>1</v>
      </c>
      <c r="D141" s="18">
        <v>89</v>
      </c>
      <c r="E141" s="20">
        <v>10762374</v>
      </c>
      <c r="F141" s="17" t="s">
        <v>28</v>
      </c>
      <c r="G141" s="19" t="s">
        <v>1292</v>
      </c>
      <c r="H141" s="18">
        <v>17.8</v>
      </c>
      <c r="I141" s="17" t="s">
        <v>358</v>
      </c>
      <c r="J141" s="17" t="s">
        <v>554</v>
      </c>
      <c r="K141" s="17"/>
      <c r="L141" s="17"/>
      <c r="M141" s="16" t="str">
        <f>HYPERLINK("http://slimages.macys.com/is/image/MCY/16878403 ")</f>
        <v xml:space="preserve">http://slimages.macys.com/is/image/MCY/16878403 </v>
      </c>
      <c r="N141" s="30"/>
    </row>
    <row r="142" spans="1:14" ht="60" x14ac:dyDescent="0.25">
      <c r="A142" s="19" t="s">
        <v>5910</v>
      </c>
      <c r="B142" s="17" t="s">
        <v>5909</v>
      </c>
      <c r="C142" s="20">
        <v>1</v>
      </c>
      <c r="D142" s="18">
        <v>79</v>
      </c>
      <c r="E142" s="20" t="s">
        <v>5908</v>
      </c>
      <c r="F142" s="17" t="s">
        <v>23</v>
      </c>
      <c r="G142" s="19" t="s">
        <v>22</v>
      </c>
      <c r="H142" s="18">
        <v>17.433333333333337</v>
      </c>
      <c r="I142" s="17" t="s">
        <v>49</v>
      </c>
      <c r="J142" s="17" t="s">
        <v>48</v>
      </c>
      <c r="K142" s="17"/>
      <c r="L142" s="17"/>
      <c r="M142" s="16" t="str">
        <f>HYPERLINK("http://slimages.macys.com/is/image/MCY/19179496 ")</f>
        <v xml:space="preserve">http://slimages.macys.com/is/image/MCY/19179496 </v>
      </c>
      <c r="N142" s="30"/>
    </row>
    <row r="143" spans="1:14" ht="60" x14ac:dyDescent="0.25">
      <c r="A143" s="19" t="s">
        <v>5907</v>
      </c>
      <c r="B143" s="17" t="s">
        <v>5906</v>
      </c>
      <c r="C143" s="20">
        <v>1</v>
      </c>
      <c r="D143" s="18">
        <v>79</v>
      </c>
      <c r="E143" s="20" t="s">
        <v>5905</v>
      </c>
      <c r="F143" s="17" t="s">
        <v>91</v>
      </c>
      <c r="G143" s="19" t="s">
        <v>62</v>
      </c>
      <c r="H143" s="18">
        <v>17.433333333333337</v>
      </c>
      <c r="I143" s="17" t="s">
        <v>49</v>
      </c>
      <c r="J143" s="17" t="s">
        <v>48</v>
      </c>
      <c r="K143" s="17"/>
      <c r="L143" s="17"/>
      <c r="M143" s="16" t="str">
        <f>HYPERLINK("http://slimages.macys.com/is/image/MCY/19445383 ")</f>
        <v xml:space="preserve">http://slimages.macys.com/is/image/MCY/19445383 </v>
      </c>
      <c r="N143" s="30"/>
    </row>
    <row r="144" spans="1:14" ht="60" x14ac:dyDescent="0.25">
      <c r="A144" s="19" t="s">
        <v>5904</v>
      </c>
      <c r="B144" s="17" t="s">
        <v>5903</v>
      </c>
      <c r="C144" s="20">
        <v>1</v>
      </c>
      <c r="D144" s="18">
        <v>109</v>
      </c>
      <c r="E144" s="20" t="s">
        <v>5902</v>
      </c>
      <c r="F144" s="17" t="s">
        <v>140</v>
      </c>
      <c r="G144" s="19" t="s">
        <v>5291</v>
      </c>
      <c r="H144" s="18">
        <v>17.333333333333336</v>
      </c>
      <c r="I144" s="17" t="s">
        <v>115</v>
      </c>
      <c r="J144" s="17" t="s">
        <v>1367</v>
      </c>
      <c r="K144" s="17"/>
      <c r="L144" s="17"/>
      <c r="M144" s="16" t="str">
        <f>HYPERLINK("http://slimages.macys.com/is/image/MCY/16973853 ")</f>
        <v xml:space="preserve">http://slimages.macys.com/is/image/MCY/16973853 </v>
      </c>
      <c r="N144" s="30"/>
    </row>
    <row r="145" spans="1:14" ht="60" x14ac:dyDescent="0.25">
      <c r="A145" s="19" t="s">
        <v>5901</v>
      </c>
      <c r="B145" s="17" t="s">
        <v>5900</v>
      </c>
      <c r="C145" s="20">
        <v>1</v>
      </c>
      <c r="D145" s="18">
        <v>74</v>
      </c>
      <c r="E145" s="20">
        <v>7020083</v>
      </c>
      <c r="F145" s="17" t="s">
        <v>508</v>
      </c>
      <c r="G145" s="19" t="s">
        <v>22</v>
      </c>
      <c r="H145" s="18">
        <v>17.266666666666666</v>
      </c>
      <c r="I145" s="17" t="s">
        <v>111</v>
      </c>
      <c r="J145" s="17" t="s">
        <v>110</v>
      </c>
      <c r="K145" s="17"/>
      <c r="L145" s="17"/>
      <c r="M145" s="16" t="str">
        <f>HYPERLINK("http://slimages.macys.com/is/image/MCY/16735203 ")</f>
        <v xml:space="preserve">http://slimages.macys.com/is/image/MCY/16735203 </v>
      </c>
      <c r="N145" s="30"/>
    </row>
    <row r="146" spans="1:14" ht="60" x14ac:dyDescent="0.25">
      <c r="A146" s="19" t="s">
        <v>3841</v>
      </c>
      <c r="B146" s="17" t="s">
        <v>3840</v>
      </c>
      <c r="C146" s="20">
        <v>1</v>
      </c>
      <c r="D146" s="18">
        <v>69.5</v>
      </c>
      <c r="E146" s="20">
        <v>200672214006</v>
      </c>
      <c r="F146" s="17" t="s">
        <v>23</v>
      </c>
      <c r="G146" s="19" t="s">
        <v>62</v>
      </c>
      <c r="H146" s="18">
        <v>17.146666666666668</v>
      </c>
      <c r="I146" s="17" t="s">
        <v>3839</v>
      </c>
      <c r="J146" s="17" t="s">
        <v>3838</v>
      </c>
      <c r="K146" s="17" t="s">
        <v>389</v>
      </c>
      <c r="L146" s="17" t="s">
        <v>1804</v>
      </c>
      <c r="M146" s="16" t="str">
        <f>HYPERLINK("http://slimages.macys.com/is/image/MCY/8793030 ")</f>
        <v xml:space="preserve">http://slimages.macys.com/is/image/MCY/8793030 </v>
      </c>
      <c r="N146" s="30"/>
    </row>
    <row r="147" spans="1:14" ht="60" x14ac:dyDescent="0.25">
      <c r="A147" s="19" t="s">
        <v>5899</v>
      </c>
      <c r="B147" s="17" t="s">
        <v>5898</v>
      </c>
      <c r="C147" s="20">
        <v>1</v>
      </c>
      <c r="D147" s="18">
        <v>89.5</v>
      </c>
      <c r="E147" s="20" t="s">
        <v>5897</v>
      </c>
      <c r="F147" s="17" t="s">
        <v>433</v>
      </c>
      <c r="G147" s="19" t="s">
        <v>1292</v>
      </c>
      <c r="H147" s="18">
        <v>17.006666666666668</v>
      </c>
      <c r="I147" s="17" t="s">
        <v>540</v>
      </c>
      <c r="J147" s="17" t="s">
        <v>105</v>
      </c>
      <c r="K147" s="17"/>
      <c r="L147" s="17"/>
      <c r="M147" s="16" t="str">
        <f>HYPERLINK("http://slimages.macys.com/is/image/MCY/18438641 ")</f>
        <v xml:space="preserve">http://slimages.macys.com/is/image/MCY/18438641 </v>
      </c>
      <c r="N147" s="30"/>
    </row>
    <row r="148" spans="1:14" ht="60" x14ac:dyDescent="0.25">
      <c r="A148" s="19" t="s">
        <v>5896</v>
      </c>
      <c r="B148" s="17" t="s">
        <v>5895</v>
      </c>
      <c r="C148" s="20">
        <v>1</v>
      </c>
      <c r="D148" s="18">
        <v>89.5</v>
      </c>
      <c r="E148" s="20" t="s">
        <v>5894</v>
      </c>
      <c r="F148" s="17" t="s">
        <v>85</v>
      </c>
      <c r="G148" s="19" t="s">
        <v>351</v>
      </c>
      <c r="H148" s="18">
        <v>17.006666666666668</v>
      </c>
      <c r="I148" s="17" t="s">
        <v>540</v>
      </c>
      <c r="J148" s="17" t="s">
        <v>105</v>
      </c>
      <c r="K148" s="17"/>
      <c r="L148" s="17"/>
      <c r="M148" s="16" t="str">
        <f>HYPERLINK("http://slimages.macys.com/is/image/MCY/19738774 ")</f>
        <v xml:space="preserve">http://slimages.macys.com/is/image/MCY/19738774 </v>
      </c>
      <c r="N148" s="30"/>
    </row>
    <row r="149" spans="1:14" ht="60" x14ac:dyDescent="0.25">
      <c r="A149" s="19" t="s">
        <v>5893</v>
      </c>
      <c r="B149" s="17" t="s">
        <v>5892</v>
      </c>
      <c r="C149" s="20">
        <v>1</v>
      </c>
      <c r="D149" s="18">
        <v>89.5</v>
      </c>
      <c r="E149" s="20" t="s">
        <v>3166</v>
      </c>
      <c r="F149" s="17" t="s">
        <v>23</v>
      </c>
      <c r="G149" s="19"/>
      <c r="H149" s="18">
        <v>17.006666666666668</v>
      </c>
      <c r="I149" s="17" t="s">
        <v>540</v>
      </c>
      <c r="J149" s="17" t="s">
        <v>105</v>
      </c>
      <c r="K149" s="17"/>
      <c r="L149" s="17"/>
      <c r="M149" s="16" t="str">
        <f>HYPERLINK("http://slimages.macys.com/is/image/MCY/19036251 ")</f>
        <v xml:space="preserve">http://slimages.macys.com/is/image/MCY/19036251 </v>
      </c>
      <c r="N149" s="30"/>
    </row>
    <row r="150" spans="1:14" ht="60" x14ac:dyDescent="0.25">
      <c r="A150" s="19" t="s">
        <v>5891</v>
      </c>
      <c r="B150" s="17" t="s">
        <v>5890</v>
      </c>
      <c r="C150" s="20">
        <v>1</v>
      </c>
      <c r="D150" s="18">
        <v>89.5</v>
      </c>
      <c r="E150" s="20" t="s">
        <v>5889</v>
      </c>
      <c r="F150" s="17" t="s">
        <v>263</v>
      </c>
      <c r="G150" s="19" t="s">
        <v>271</v>
      </c>
      <c r="H150" s="18">
        <v>16.853333333333335</v>
      </c>
      <c r="I150" s="17" t="s">
        <v>1891</v>
      </c>
      <c r="J150" s="17" t="s">
        <v>67</v>
      </c>
      <c r="K150" s="17"/>
      <c r="L150" s="17"/>
      <c r="M150" s="16" t="str">
        <f>HYPERLINK("http://slimages.macys.com/is/image/MCY/18733681 ")</f>
        <v xml:space="preserve">http://slimages.macys.com/is/image/MCY/18733681 </v>
      </c>
      <c r="N150" s="30"/>
    </row>
    <row r="151" spans="1:14" ht="60" x14ac:dyDescent="0.25">
      <c r="A151" s="19" t="s">
        <v>5888</v>
      </c>
      <c r="B151" s="17" t="s">
        <v>5887</v>
      </c>
      <c r="C151" s="20">
        <v>12</v>
      </c>
      <c r="D151" s="18">
        <v>79.5</v>
      </c>
      <c r="E151" s="20" t="s">
        <v>5886</v>
      </c>
      <c r="F151" s="17" t="s">
        <v>2876</v>
      </c>
      <c r="G151" s="19" t="s">
        <v>57</v>
      </c>
      <c r="H151" s="18">
        <v>16.833333333333332</v>
      </c>
      <c r="I151" s="17" t="s">
        <v>80</v>
      </c>
      <c r="J151" s="17" t="s">
        <v>531</v>
      </c>
      <c r="K151" s="17"/>
      <c r="L151" s="17"/>
      <c r="M151" s="16" t="str">
        <f>HYPERLINK("http://slimages.macys.com/is/image/MCY/18371453 ")</f>
        <v xml:space="preserve">http://slimages.macys.com/is/image/MCY/18371453 </v>
      </c>
      <c r="N151" s="30"/>
    </row>
    <row r="152" spans="1:14" ht="60" x14ac:dyDescent="0.25">
      <c r="A152" s="19" t="s">
        <v>3813</v>
      </c>
      <c r="B152" s="17" t="s">
        <v>3812</v>
      </c>
      <c r="C152" s="20">
        <v>1</v>
      </c>
      <c r="D152" s="18">
        <v>89</v>
      </c>
      <c r="E152" s="20" t="s">
        <v>3811</v>
      </c>
      <c r="F152" s="17" t="s">
        <v>575</v>
      </c>
      <c r="G152" s="19" t="s">
        <v>682</v>
      </c>
      <c r="H152" s="18">
        <v>16.613333333333333</v>
      </c>
      <c r="I152" s="17" t="s">
        <v>820</v>
      </c>
      <c r="J152" s="17" t="s">
        <v>67</v>
      </c>
      <c r="K152" s="17"/>
      <c r="L152" s="17"/>
      <c r="M152" s="16" t="str">
        <f>HYPERLINK("http://slimages.macys.com/is/image/MCY/19686763 ")</f>
        <v xml:space="preserve">http://slimages.macys.com/is/image/MCY/19686763 </v>
      </c>
      <c r="N152" s="30"/>
    </row>
    <row r="153" spans="1:14" ht="60" x14ac:dyDescent="0.25">
      <c r="A153" s="19" t="s">
        <v>5885</v>
      </c>
      <c r="B153" s="17" t="s">
        <v>5884</v>
      </c>
      <c r="C153" s="20">
        <v>1</v>
      </c>
      <c r="D153" s="18">
        <v>89</v>
      </c>
      <c r="E153" s="20" t="s">
        <v>2813</v>
      </c>
      <c r="F153" s="17" t="s">
        <v>58</v>
      </c>
      <c r="G153" s="19" t="s">
        <v>96</v>
      </c>
      <c r="H153" s="18">
        <v>16.613333333333333</v>
      </c>
      <c r="I153" s="17" t="s">
        <v>820</v>
      </c>
      <c r="J153" s="17" t="s">
        <v>67</v>
      </c>
      <c r="K153" s="17"/>
      <c r="L153" s="17"/>
      <c r="M153" s="16" t="str">
        <f>HYPERLINK("http://slimages.macys.com/is/image/MCY/19908176 ")</f>
        <v xml:space="preserve">http://slimages.macys.com/is/image/MCY/19908176 </v>
      </c>
      <c r="N153" s="30"/>
    </row>
    <row r="154" spans="1:14" ht="60" x14ac:dyDescent="0.25">
      <c r="A154" s="19" t="s">
        <v>5883</v>
      </c>
      <c r="B154" s="17" t="s">
        <v>5882</v>
      </c>
      <c r="C154" s="20">
        <v>1</v>
      </c>
      <c r="D154" s="18">
        <v>89</v>
      </c>
      <c r="E154" s="20" t="s">
        <v>2813</v>
      </c>
      <c r="F154" s="17" t="s">
        <v>58</v>
      </c>
      <c r="G154" s="19" t="s">
        <v>682</v>
      </c>
      <c r="H154" s="18">
        <v>16.613333333333333</v>
      </c>
      <c r="I154" s="17" t="s">
        <v>820</v>
      </c>
      <c r="J154" s="17" t="s">
        <v>67</v>
      </c>
      <c r="K154" s="17"/>
      <c r="L154" s="17"/>
      <c r="M154" s="16" t="str">
        <f>HYPERLINK("http://slimages.macys.com/is/image/MCY/19908176 ")</f>
        <v xml:space="preserve">http://slimages.macys.com/is/image/MCY/19908176 </v>
      </c>
      <c r="N154" s="30"/>
    </row>
    <row r="155" spans="1:14" ht="60" x14ac:dyDescent="0.25">
      <c r="A155" s="19" t="s">
        <v>5881</v>
      </c>
      <c r="B155" s="17" t="s">
        <v>5880</v>
      </c>
      <c r="C155" s="20">
        <v>2</v>
      </c>
      <c r="D155" s="18">
        <v>89</v>
      </c>
      <c r="E155" s="20" t="s">
        <v>2813</v>
      </c>
      <c r="F155" s="17" t="s">
        <v>58</v>
      </c>
      <c r="G155" s="19" t="s">
        <v>857</v>
      </c>
      <c r="H155" s="18">
        <v>16.613333333333333</v>
      </c>
      <c r="I155" s="17" t="s">
        <v>820</v>
      </c>
      <c r="J155" s="17" t="s">
        <v>67</v>
      </c>
      <c r="K155" s="17"/>
      <c r="L155" s="17"/>
      <c r="M155" s="16" t="str">
        <f>HYPERLINK("http://slimages.macys.com/is/image/MCY/19908176 ")</f>
        <v xml:space="preserve">http://slimages.macys.com/is/image/MCY/19908176 </v>
      </c>
      <c r="N155" s="30"/>
    </row>
    <row r="156" spans="1:14" ht="60" x14ac:dyDescent="0.25">
      <c r="A156" s="19" t="s">
        <v>5879</v>
      </c>
      <c r="B156" s="17" t="s">
        <v>5878</v>
      </c>
      <c r="C156" s="20">
        <v>1</v>
      </c>
      <c r="D156" s="18">
        <v>59.25</v>
      </c>
      <c r="E156" s="20">
        <v>10773049</v>
      </c>
      <c r="F156" s="17" t="s">
        <v>28</v>
      </c>
      <c r="G156" s="19" t="s">
        <v>3931</v>
      </c>
      <c r="H156" s="18">
        <v>16.593333333333334</v>
      </c>
      <c r="I156" s="17" t="s">
        <v>33</v>
      </c>
      <c r="J156" s="17" t="s">
        <v>143</v>
      </c>
      <c r="K156" s="17"/>
      <c r="L156" s="17"/>
      <c r="M156" s="16" t="str">
        <f>HYPERLINK("http://slimages.macys.com/is/image/MCY/18601522 ")</f>
        <v xml:space="preserve">http://slimages.macys.com/is/image/MCY/18601522 </v>
      </c>
      <c r="N156" s="30"/>
    </row>
    <row r="157" spans="1:14" ht="60" x14ac:dyDescent="0.25">
      <c r="A157" s="19" t="s">
        <v>5877</v>
      </c>
      <c r="B157" s="17" t="s">
        <v>5876</v>
      </c>
      <c r="C157" s="20">
        <v>1</v>
      </c>
      <c r="D157" s="18">
        <v>99</v>
      </c>
      <c r="E157" s="20">
        <v>10766920</v>
      </c>
      <c r="F157" s="17" t="s">
        <v>390</v>
      </c>
      <c r="G157" s="19" t="s">
        <v>69</v>
      </c>
      <c r="H157" s="18">
        <v>16.5</v>
      </c>
      <c r="I157" s="17" t="s">
        <v>120</v>
      </c>
      <c r="J157" s="17" t="s">
        <v>119</v>
      </c>
      <c r="K157" s="17"/>
      <c r="L157" s="17"/>
      <c r="M157" s="16" t="str">
        <f>HYPERLINK("http://slimages.macys.com/is/image/MCY/19028920 ")</f>
        <v xml:space="preserve">http://slimages.macys.com/is/image/MCY/19028920 </v>
      </c>
      <c r="N157" s="30"/>
    </row>
    <row r="158" spans="1:14" ht="60" x14ac:dyDescent="0.25">
      <c r="A158" s="19" t="s">
        <v>5875</v>
      </c>
      <c r="B158" s="17" t="s">
        <v>5874</v>
      </c>
      <c r="C158" s="20">
        <v>1</v>
      </c>
      <c r="D158" s="18">
        <v>99</v>
      </c>
      <c r="E158" s="20">
        <v>7031304</v>
      </c>
      <c r="F158" s="17" t="s">
        <v>345</v>
      </c>
      <c r="G158" s="19" t="s">
        <v>22</v>
      </c>
      <c r="H158" s="18">
        <v>16.5</v>
      </c>
      <c r="I158" s="17" t="s">
        <v>111</v>
      </c>
      <c r="J158" s="17" t="s">
        <v>110</v>
      </c>
      <c r="K158" s="17"/>
      <c r="L158" s="17"/>
      <c r="M158" s="16" t="str">
        <f>HYPERLINK("http://slimages.macys.com/is/image/MCY/18958972 ")</f>
        <v xml:space="preserve">http://slimages.macys.com/is/image/MCY/18958972 </v>
      </c>
      <c r="N158" s="30"/>
    </row>
    <row r="159" spans="1:14" ht="60" x14ac:dyDescent="0.25">
      <c r="A159" s="19" t="s">
        <v>5873</v>
      </c>
      <c r="B159" s="17" t="s">
        <v>5872</v>
      </c>
      <c r="C159" s="20">
        <v>1</v>
      </c>
      <c r="D159" s="18">
        <v>99</v>
      </c>
      <c r="E159" s="20">
        <v>10774132</v>
      </c>
      <c r="F159" s="17" t="s">
        <v>282</v>
      </c>
      <c r="G159" s="19" t="s">
        <v>682</v>
      </c>
      <c r="H159" s="18">
        <v>16.5</v>
      </c>
      <c r="I159" s="17" t="s">
        <v>120</v>
      </c>
      <c r="J159" s="17" t="s">
        <v>119</v>
      </c>
      <c r="K159" s="17"/>
      <c r="L159" s="17"/>
      <c r="M159" s="16" t="str">
        <f>HYPERLINK("http://slimages.macys.com/is/image/MCY/19026674 ")</f>
        <v xml:space="preserve">http://slimages.macys.com/is/image/MCY/19026674 </v>
      </c>
      <c r="N159" s="30"/>
    </row>
    <row r="160" spans="1:14" ht="60" x14ac:dyDescent="0.25">
      <c r="A160" s="19" t="s">
        <v>3800</v>
      </c>
      <c r="B160" s="17" t="s">
        <v>3799</v>
      </c>
      <c r="C160" s="20">
        <v>1</v>
      </c>
      <c r="D160" s="18">
        <v>89</v>
      </c>
      <c r="E160" s="20" t="s">
        <v>3798</v>
      </c>
      <c r="F160" s="17" t="s">
        <v>881</v>
      </c>
      <c r="G160" s="19" t="s">
        <v>197</v>
      </c>
      <c r="H160" s="18">
        <v>16.433333333333334</v>
      </c>
      <c r="I160" s="17" t="s">
        <v>405</v>
      </c>
      <c r="J160" s="17" t="s">
        <v>404</v>
      </c>
      <c r="K160" s="17"/>
      <c r="L160" s="17"/>
      <c r="M160" s="16" t="str">
        <f>HYPERLINK("http://slimages.macys.com/is/image/MCY/19526397 ")</f>
        <v xml:space="preserve">http://slimages.macys.com/is/image/MCY/19526397 </v>
      </c>
      <c r="N160" s="30"/>
    </row>
    <row r="161" spans="1:14" ht="60" x14ac:dyDescent="0.25">
      <c r="A161" s="19" t="s">
        <v>4531</v>
      </c>
      <c r="B161" s="17" t="s">
        <v>4530</v>
      </c>
      <c r="C161" s="20">
        <v>1</v>
      </c>
      <c r="D161" s="18">
        <v>79.5</v>
      </c>
      <c r="E161" s="20" t="s">
        <v>2802</v>
      </c>
      <c r="F161" s="17" t="s">
        <v>51</v>
      </c>
      <c r="G161" s="19" t="s">
        <v>197</v>
      </c>
      <c r="H161" s="18">
        <v>16.013333333333335</v>
      </c>
      <c r="I161" s="17" t="s">
        <v>106</v>
      </c>
      <c r="J161" s="17" t="s">
        <v>105</v>
      </c>
      <c r="K161" s="17"/>
      <c r="L161" s="17"/>
      <c r="M161" s="16" t="str">
        <f>HYPERLINK("http://slimages.macys.com/is/image/MCY/19027051 ")</f>
        <v xml:space="preserve">http://slimages.macys.com/is/image/MCY/19027051 </v>
      </c>
      <c r="N161" s="30"/>
    </row>
    <row r="162" spans="1:14" ht="60" x14ac:dyDescent="0.25">
      <c r="A162" s="19" t="s">
        <v>5129</v>
      </c>
      <c r="B162" s="17" t="s">
        <v>5128</v>
      </c>
      <c r="C162" s="20">
        <v>2</v>
      </c>
      <c r="D162" s="18">
        <v>79.5</v>
      </c>
      <c r="E162" s="20" t="s">
        <v>2799</v>
      </c>
      <c r="F162" s="17" t="s">
        <v>1382</v>
      </c>
      <c r="G162" s="19" t="s">
        <v>197</v>
      </c>
      <c r="H162" s="18">
        <v>16.013333333333335</v>
      </c>
      <c r="I162" s="17" t="s">
        <v>106</v>
      </c>
      <c r="J162" s="17" t="s">
        <v>105</v>
      </c>
      <c r="K162" s="17"/>
      <c r="L162" s="17"/>
      <c r="M162" s="16" t="str">
        <f>HYPERLINK("http://slimages.macys.com/is/image/MCY/19911009 ")</f>
        <v xml:space="preserve">http://slimages.macys.com/is/image/MCY/19911009 </v>
      </c>
      <c r="N162" s="30"/>
    </row>
    <row r="163" spans="1:14" ht="60" x14ac:dyDescent="0.25">
      <c r="A163" s="19" t="s">
        <v>5871</v>
      </c>
      <c r="B163" s="17" t="s">
        <v>5870</v>
      </c>
      <c r="C163" s="20">
        <v>1</v>
      </c>
      <c r="D163" s="18">
        <v>79.5</v>
      </c>
      <c r="E163" s="20" t="s">
        <v>5869</v>
      </c>
      <c r="F163" s="17"/>
      <c r="G163" s="19" t="s">
        <v>96</v>
      </c>
      <c r="H163" s="18">
        <v>16.013333333333335</v>
      </c>
      <c r="I163" s="17" t="s">
        <v>106</v>
      </c>
      <c r="J163" s="17" t="s">
        <v>105</v>
      </c>
      <c r="K163" s="17"/>
      <c r="L163" s="17"/>
      <c r="M163" s="16" t="str">
        <f>HYPERLINK("http://slimages.macys.com/is/image/MCY/18651187 ")</f>
        <v xml:space="preserve">http://slimages.macys.com/is/image/MCY/18651187 </v>
      </c>
      <c r="N163" s="30"/>
    </row>
    <row r="164" spans="1:14" ht="60" x14ac:dyDescent="0.25">
      <c r="A164" s="19" t="s">
        <v>1246</v>
      </c>
      <c r="B164" s="17" t="s">
        <v>1245</v>
      </c>
      <c r="C164" s="20">
        <v>1</v>
      </c>
      <c r="D164" s="18">
        <v>79.5</v>
      </c>
      <c r="E164" s="20" t="s">
        <v>1244</v>
      </c>
      <c r="F164" s="17" t="s">
        <v>91</v>
      </c>
      <c r="G164" s="19" t="s">
        <v>62</v>
      </c>
      <c r="H164" s="18">
        <v>16.013333333333335</v>
      </c>
      <c r="I164" s="17" t="s">
        <v>106</v>
      </c>
      <c r="J164" s="17" t="s">
        <v>105</v>
      </c>
      <c r="K164" s="17"/>
      <c r="L164" s="17"/>
      <c r="M164" s="16" t="str">
        <f>HYPERLINK("http://slimages.macys.com/is/image/MCY/20125785 ")</f>
        <v xml:space="preserve">http://slimages.macys.com/is/image/MCY/20125785 </v>
      </c>
      <c r="N164" s="30"/>
    </row>
    <row r="165" spans="1:14" ht="60" x14ac:dyDescent="0.25">
      <c r="A165" s="19" t="s">
        <v>2806</v>
      </c>
      <c r="B165" s="17" t="s">
        <v>2805</v>
      </c>
      <c r="C165" s="20">
        <v>1</v>
      </c>
      <c r="D165" s="18">
        <v>79.5</v>
      </c>
      <c r="E165" s="20" t="s">
        <v>1244</v>
      </c>
      <c r="F165" s="17" t="s">
        <v>91</v>
      </c>
      <c r="G165" s="19" t="s">
        <v>197</v>
      </c>
      <c r="H165" s="18">
        <v>16.013333333333335</v>
      </c>
      <c r="I165" s="17" t="s">
        <v>106</v>
      </c>
      <c r="J165" s="17" t="s">
        <v>105</v>
      </c>
      <c r="K165" s="17"/>
      <c r="L165" s="17"/>
      <c r="M165" s="16" t="str">
        <f>HYPERLINK("http://slimages.macys.com/is/image/MCY/20125785 ")</f>
        <v xml:space="preserve">http://slimages.macys.com/is/image/MCY/20125785 </v>
      </c>
      <c r="N165" s="30"/>
    </row>
    <row r="166" spans="1:14" ht="60" x14ac:dyDescent="0.25">
      <c r="A166" s="19" t="s">
        <v>5868</v>
      </c>
      <c r="B166" s="17" t="s">
        <v>5867</v>
      </c>
      <c r="C166" s="20">
        <v>1</v>
      </c>
      <c r="D166" s="18">
        <v>79.5</v>
      </c>
      <c r="E166" s="20" t="s">
        <v>5864</v>
      </c>
      <c r="F166" s="17" t="s">
        <v>23</v>
      </c>
      <c r="G166" s="19" t="s">
        <v>698</v>
      </c>
      <c r="H166" s="18">
        <v>16.013333333333335</v>
      </c>
      <c r="I166" s="17" t="s">
        <v>106</v>
      </c>
      <c r="J166" s="17" t="s">
        <v>105</v>
      </c>
      <c r="K166" s="17"/>
      <c r="L166" s="17"/>
      <c r="M166" s="16" t="str">
        <f>HYPERLINK("http://slimages.macys.com/is/image/MCY/18482747 ")</f>
        <v xml:space="preserve">http://slimages.macys.com/is/image/MCY/18482747 </v>
      </c>
      <c r="N166" s="30"/>
    </row>
    <row r="167" spans="1:14" ht="60" x14ac:dyDescent="0.25">
      <c r="A167" s="19" t="s">
        <v>5866</v>
      </c>
      <c r="B167" s="17" t="s">
        <v>5865</v>
      </c>
      <c r="C167" s="20">
        <v>2</v>
      </c>
      <c r="D167" s="18">
        <v>79.5</v>
      </c>
      <c r="E167" s="20" t="s">
        <v>5864</v>
      </c>
      <c r="F167" s="17" t="s">
        <v>23</v>
      </c>
      <c r="G167" s="19" t="s">
        <v>116</v>
      </c>
      <c r="H167" s="18">
        <v>16.013333333333335</v>
      </c>
      <c r="I167" s="17" t="s">
        <v>106</v>
      </c>
      <c r="J167" s="17" t="s">
        <v>105</v>
      </c>
      <c r="K167" s="17"/>
      <c r="L167" s="17"/>
      <c r="M167" s="16" t="str">
        <f>HYPERLINK("http://slimages.macys.com/is/image/MCY/18482747 ")</f>
        <v xml:space="preserve">http://slimages.macys.com/is/image/MCY/18482747 </v>
      </c>
      <c r="N167" s="30"/>
    </row>
    <row r="168" spans="1:14" ht="60" x14ac:dyDescent="0.25">
      <c r="A168" s="19" t="s">
        <v>1243</v>
      </c>
      <c r="B168" s="17" t="s">
        <v>1242</v>
      </c>
      <c r="C168" s="20">
        <v>9</v>
      </c>
      <c r="D168" s="18">
        <v>75</v>
      </c>
      <c r="E168" s="20" t="s">
        <v>1241</v>
      </c>
      <c r="F168" s="17" t="s">
        <v>51</v>
      </c>
      <c r="G168" s="19" t="s">
        <v>69</v>
      </c>
      <c r="H168" s="18">
        <v>16</v>
      </c>
      <c r="I168" s="17" t="s">
        <v>80</v>
      </c>
      <c r="J168" s="17" t="s">
        <v>531</v>
      </c>
      <c r="K168" s="17"/>
      <c r="L168" s="17"/>
      <c r="M168" s="16" t="str">
        <f>HYPERLINK("http://slimages.macys.com/is/image/MCY/18269796 ")</f>
        <v xml:space="preserve">http://slimages.macys.com/is/image/MCY/18269796 </v>
      </c>
      <c r="N168" s="30"/>
    </row>
    <row r="169" spans="1:14" ht="60" x14ac:dyDescent="0.25">
      <c r="A169" s="19" t="s">
        <v>5863</v>
      </c>
      <c r="B169" s="17" t="s">
        <v>5862</v>
      </c>
      <c r="C169" s="20">
        <v>2</v>
      </c>
      <c r="D169" s="18">
        <v>75</v>
      </c>
      <c r="E169" s="20" t="s">
        <v>559</v>
      </c>
      <c r="F169" s="17" t="s">
        <v>881</v>
      </c>
      <c r="G169" s="19" t="s">
        <v>74</v>
      </c>
      <c r="H169" s="18">
        <v>16</v>
      </c>
      <c r="I169" s="17" t="s">
        <v>80</v>
      </c>
      <c r="J169" s="17" t="s">
        <v>531</v>
      </c>
      <c r="K169" s="17"/>
      <c r="L169" s="17"/>
      <c r="M169" s="16" t="str">
        <f>HYPERLINK("http://slimages.macys.com/is/image/MCY/18371419 ")</f>
        <v xml:space="preserve">http://slimages.macys.com/is/image/MCY/18371419 </v>
      </c>
      <c r="N169" s="30"/>
    </row>
    <row r="170" spans="1:14" ht="60" x14ac:dyDescent="0.25">
      <c r="A170" s="19" t="s">
        <v>5861</v>
      </c>
      <c r="B170" s="17" t="s">
        <v>5860</v>
      </c>
      <c r="C170" s="20">
        <v>5</v>
      </c>
      <c r="D170" s="18">
        <v>75</v>
      </c>
      <c r="E170" s="20" t="s">
        <v>559</v>
      </c>
      <c r="F170" s="17" t="s">
        <v>881</v>
      </c>
      <c r="G170" s="19" t="s">
        <v>69</v>
      </c>
      <c r="H170" s="18">
        <v>16</v>
      </c>
      <c r="I170" s="17" t="s">
        <v>80</v>
      </c>
      <c r="J170" s="17" t="s">
        <v>531</v>
      </c>
      <c r="K170" s="17"/>
      <c r="L170" s="17"/>
      <c r="M170" s="16" t="str">
        <f>HYPERLINK("http://slimages.macys.com/is/image/MCY/18371419 ")</f>
        <v xml:space="preserve">http://slimages.macys.com/is/image/MCY/18371419 </v>
      </c>
      <c r="N170" s="30"/>
    </row>
    <row r="171" spans="1:14" ht="60" x14ac:dyDescent="0.25">
      <c r="A171" s="19" t="s">
        <v>5859</v>
      </c>
      <c r="B171" s="17" t="s">
        <v>5858</v>
      </c>
      <c r="C171" s="20">
        <v>5</v>
      </c>
      <c r="D171" s="18">
        <v>75</v>
      </c>
      <c r="E171" s="20" t="s">
        <v>559</v>
      </c>
      <c r="F171" s="17" t="s">
        <v>881</v>
      </c>
      <c r="G171" s="19" t="s">
        <v>57</v>
      </c>
      <c r="H171" s="18">
        <v>16</v>
      </c>
      <c r="I171" s="17" t="s">
        <v>80</v>
      </c>
      <c r="J171" s="17" t="s">
        <v>531</v>
      </c>
      <c r="K171" s="17"/>
      <c r="L171" s="17"/>
      <c r="M171" s="16" t="str">
        <f>HYPERLINK("http://slimages.macys.com/is/image/MCY/18371419 ")</f>
        <v xml:space="preserve">http://slimages.macys.com/is/image/MCY/18371419 </v>
      </c>
      <c r="N171" s="30"/>
    </row>
    <row r="172" spans="1:14" ht="60" x14ac:dyDescent="0.25">
      <c r="A172" s="19" t="s">
        <v>5857</v>
      </c>
      <c r="B172" s="17" t="s">
        <v>5856</v>
      </c>
      <c r="C172" s="20">
        <v>1</v>
      </c>
      <c r="D172" s="18">
        <v>79</v>
      </c>
      <c r="E172" s="20">
        <v>10762048</v>
      </c>
      <c r="F172" s="17" t="s">
        <v>433</v>
      </c>
      <c r="G172" s="19" t="s">
        <v>74</v>
      </c>
      <c r="H172" s="18">
        <v>15.8</v>
      </c>
      <c r="I172" s="17" t="s">
        <v>115</v>
      </c>
      <c r="J172" s="17" t="s">
        <v>1265</v>
      </c>
      <c r="K172" s="17"/>
      <c r="L172" s="17"/>
      <c r="M172" s="16" t="str">
        <f>HYPERLINK("http://slimages.macys.com/is/image/MCY/16841821 ")</f>
        <v xml:space="preserve">http://slimages.macys.com/is/image/MCY/16841821 </v>
      </c>
      <c r="N172" s="30"/>
    </row>
    <row r="173" spans="1:14" ht="60" x14ac:dyDescent="0.25">
      <c r="A173" s="19" t="s">
        <v>5855</v>
      </c>
      <c r="B173" s="17" t="s">
        <v>5854</v>
      </c>
      <c r="C173" s="20">
        <v>1</v>
      </c>
      <c r="D173" s="18">
        <v>99</v>
      </c>
      <c r="E173" s="20">
        <v>2331903</v>
      </c>
      <c r="F173" s="17" t="s">
        <v>124</v>
      </c>
      <c r="G173" s="19" t="s">
        <v>898</v>
      </c>
      <c r="H173" s="18">
        <v>15.333333333333332</v>
      </c>
      <c r="I173" s="17" t="s">
        <v>80</v>
      </c>
      <c r="J173" s="17" t="s">
        <v>293</v>
      </c>
      <c r="K173" s="17"/>
      <c r="L173" s="17"/>
      <c r="M173" s="16" t="str">
        <f>HYPERLINK("http://slimages.macys.com/is/image/MCY/19191739 ")</f>
        <v xml:space="preserve">http://slimages.macys.com/is/image/MCY/19191739 </v>
      </c>
      <c r="N173" s="30"/>
    </row>
    <row r="174" spans="1:14" ht="96" x14ac:dyDescent="0.25">
      <c r="A174" s="19" t="s">
        <v>5853</v>
      </c>
      <c r="B174" s="17" t="s">
        <v>5852</v>
      </c>
      <c r="C174" s="20">
        <v>1</v>
      </c>
      <c r="D174" s="18">
        <v>79</v>
      </c>
      <c r="E174" s="20">
        <v>10695398</v>
      </c>
      <c r="F174" s="17" t="s">
        <v>51</v>
      </c>
      <c r="G174" s="19" t="s">
        <v>116</v>
      </c>
      <c r="H174" s="18">
        <v>15.273333333333333</v>
      </c>
      <c r="I174" s="17" t="s">
        <v>144</v>
      </c>
      <c r="J174" s="17" t="s">
        <v>143</v>
      </c>
      <c r="K174" s="17" t="s">
        <v>389</v>
      </c>
      <c r="L174" s="17" t="s">
        <v>1355</v>
      </c>
      <c r="M174" s="16" t="str">
        <f>HYPERLINK("http://slimages.macys.com/is/image/MCY/14815173 ")</f>
        <v xml:space="preserve">http://slimages.macys.com/is/image/MCY/14815173 </v>
      </c>
      <c r="N174" s="30"/>
    </row>
    <row r="175" spans="1:14" ht="60" x14ac:dyDescent="0.25">
      <c r="A175" s="19" t="s">
        <v>5851</v>
      </c>
      <c r="B175" s="17" t="s">
        <v>5850</v>
      </c>
      <c r="C175" s="20">
        <v>2</v>
      </c>
      <c r="D175" s="18">
        <v>69</v>
      </c>
      <c r="E175" s="20" t="s">
        <v>545</v>
      </c>
      <c r="F175" s="17" t="s">
        <v>544</v>
      </c>
      <c r="G175" s="19" t="s">
        <v>62</v>
      </c>
      <c r="H175" s="18">
        <v>15.226666666666667</v>
      </c>
      <c r="I175" s="17" t="s">
        <v>49</v>
      </c>
      <c r="J175" s="17" t="s">
        <v>48</v>
      </c>
      <c r="K175" s="17"/>
      <c r="L175" s="17"/>
      <c r="M175" s="16" t="str">
        <f>HYPERLINK("http://slimages.macys.com/is/image/MCY/19483143 ")</f>
        <v xml:space="preserve">http://slimages.macys.com/is/image/MCY/19483143 </v>
      </c>
      <c r="N175" s="30"/>
    </row>
    <row r="176" spans="1:14" ht="60" x14ac:dyDescent="0.25">
      <c r="A176" s="19" t="s">
        <v>5849</v>
      </c>
      <c r="B176" s="17" t="s">
        <v>5848</v>
      </c>
      <c r="C176" s="20">
        <v>1</v>
      </c>
      <c r="D176" s="18">
        <v>69</v>
      </c>
      <c r="E176" s="20" t="s">
        <v>545</v>
      </c>
      <c r="F176" s="17" t="s">
        <v>81</v>
      </c>
      <c r="G176" s="19" t="s">
        <v>50</v>
      </c>
      <c r="H176" s="18">
        <v>15.226666666666667</v>
      </c>
      <c r="I176" s="17" t="s">
        <v>49</v>
      </c>
      <c r="J176" s="17" t="s">
        <v>48</v>
      </c>
      <c r="K176" s="17"/>
      <c r="L176" s="17"/>
      <c r="M176" s="16" t="str">
        <f>HYPERLINK("http://slimages.macys.com/is/image/MCY/19483143 ")</f>
        <v xml:space="preserve">http://slimages.macys.com/is/image/MCY/19483143 </v>
      </c>
      <c r="N176" s="30"/>
    </row>
    <row r="177" spans="1:14" ht="60" x14ac:dyDescent="0.25">
      <c r="A177" s="19" t="s">
        <v>5847</v>
      </c>
      <c r="B177" s="17" t="s">
        <v>5846</v>
      </c>
      <c r="C177" s="20">
        <v>1</v>
      </c>
      <c r="D177" s="18">
        <v>69</v>
      </c>
      <c r="E177" s="20" t="s">
        <v>545</v>
      </c>
      <c r="F177" s="17" t="s">
        <v>345</v>
      </c>
      <c r="G177" s="19" t="s">
        <v>101</v>
      </c>
      <c r="H177" s="18">
        <v>15.226666666666667</v>
      </c>
      <c r="I177" s="17" t="s">
        <v>49</v>
      </c>
      <c r="J177" s="17" t="s">
        <v>48</v>
      </c>
      <c r="K177" s="17"/>
      <c r="L177" s="17"/>
      <c r="M177" s="16" t="str">
        <f>HYPERLINK("http://slimages.macys.com/is/image/MCY/19483143 ")</f>
        <v xml:space="preserve">http://slimages.macys.com/is/image/MCY/19483143 </v>
      </c>
      <c r="N177" s="30"/>
    </row>
    <row r="178" spans="1:14" ht="60" x14ac:dyDescent="0.25">
      <c r="A178" s="19" t="s">
        <v>5845</v>
      </c>
      <c r="B178" s="17" t="s">
        <v>5844</v>
      </c>
      <c r="C178" s="20">
        <v>1</v>
      </c>
      <c r="D178" s="18">
        <v>69</v>
      </c>
      <c r="E178" s="20" t="s">
        <v>5843</v>
      </c>
      <c r="F178" s="17" t="s">
        <v>85</v>
      </c>
      <c r="G178" s="19" t="s">
        <v>22</v>
      </c>
      <c r="H178" s="18">
        <v>15.226666666666667</v>
      </c>
      <c r="I178" s="17" t="s">
        <v>49</v>
      </c>
      <c r="J178" s="17" t="s">
        <v>48</v>
      </c>
      <c r="K178" s="17"/>
      <c r="L178" s="17"/>
      <c r="M178" s="16" t="str">
        <f>HYPERLINK("http://slimages.macys.com/is/image/MCY/18434745 ")</f>
        <v xml:space="preserve">http://slimages.macys.com/is/image/MCY/18434745 </v>
      </c>
      <c r="N178" s="30"/>
    </row>
    <row r="179" spans="1:14" ht="60" x14ac:dyDescent="0.25">
      <c r="A179" s="19" t="s">
        <v>5842</v>
      </c>
      <c r="B179" s="17" t="s">
        <v>5841</v>
      </c>
      <c r="C179" s="20">
        <v>1</v>
      </c>
      <c r="D179" s="18">
        <v>69</v>
      </c>
      <c r="E179" s="20" t="s">
        <v>545</v>
      </c>
      <c r="F179" s="17" t="s">
        <v>23</v>
      </c>
      <c r="G179" s="19" t="s">
        <v>17</v>
      </c>
      <c r="H179" s="18">
        <v>15.226666666666667</v>
      </c>
      <c r="I179" s="17" t="s">
        <v>49</v>
      </c>
      <c r="J179" s="17" t="s">
        <v>48</v>
      </c>
      <c r="K179" s="17"/>
      <c r="L179" s="17"/>
      <c r="M179" s="16" t="str">
        <f>HYPERLINK("http://slimages.macys.com/is/image/MCY/19483143 ")</f>
        <v xml:space="preserve">http://slimages.macys.com/is/image/MCY/19483143 </v>
      </c>
      <c r="N179" s="30"/>
    </row>
    <row r="180" spans="1:14" ht="60" x14ac:dyDescent="0.25">
      <c r="A180" s="19" t="s">
        <v>5840</v>
      </c>
      <c r="B180" s="17" t="s">
        <v>5839</v>
      </c>
      <c r="C180" s="20">
        <v>2</v>
      </c>
      <c r="D180" s="18">
        <v>69</v>
      </c>
      <c r="E180" s="20" t="s">
        <v>545</v>
      </c>
      <c r="F180" s="17" t="s">
        <v>345</v>
      </c>
      <c r="G180" s="19" t="s">
        <v>50</v>
      </c>
      <c r="H180" s="18">
        <v>15.226666666666667</v>
      </c>
      <c r="I180" s="17" t="s">
        <v>49</v>
      </c>
      <c r="J180" s="17" t="s">
        <v>48</v>
      </c>
      <c r="K180" s="17"/>
      <c r="L180" s="17"/>
      <c r="M180" s="16" t="str">
        <f>HYPERLINK("http://slimages.macys.com/is/image/MCY/19483143 ")</f>
        <v xml:space="preserve">http://slimages.macys.com/is/image/MCY/19483143 </v>
      </c>
      <c r="N180" s="30"/>
    </row>
    <row r="181" spans="1:14" ht="60" x14ac:dyDescent="0.25">
      <c r="A181" s="19" t="s">
        <v>547</v>
      </c>
      <c r="B181" s="17" t="s">
        <v>546</v>
      </c>
      <c r="C181" s="20">
        <v>1</v>
      </c>
      <c r="D181" s="18">
        <v>69</v>
      </c>
      <c r="E181" s="20" t="s">
        <v>545</v>
      </c>
      <c r="F181" s="17" t="s">
        <v>544</v>
      </c>
      <c r="G181" s="19" t="s">
        <v>101</v>
      </c>
      <c r="H181" s="18">
        <v>15.226666666666667</v>
      </c>
      <c r="I181" s="17" t="s">
        <v>49</v>
      </c>
      <c r="J181" s="17" t="s">
        <v>48</v>
      </c>
      <c r="K181" s="17"/>
      <c r="L181" s="17"/>
      <c r="M181" s="16" t="str">
        <f>HYPERLINK("http://slimages.macys.com/is/image/MCY/19483143 ")</f>
        <v xml:space="preserve">http://slimages.macys.com/is/image/MCY/19483143 </v>
      </c>
      <c r="N181" s="30"/>
    </row>
    <row r="182" spans="1:14" ht="60" x14ac:dyDescent="0.25">
      <c r="A182" s="19" t="s">
        <v>5838</v>
      </c>
      <c r="B182" s="17" t="s">
        <v>5837</v>
      </c>
      <c r="C182" s="20">
        <v>1</v>
      </c>
      <c r="D182" s="18">
        <v>69</v>
      </c>
      <c r="E182" s="20" t="s">
        <v>545</v>
      </c>
      <c r="F182" s="17" t="s">
        <v>544</v>
      </c>
      <c r="G182" s="19" t="s">
        <v>50</v>
      </c>
      <c r="H182" s="18">
        <v>15.226666666666667</v>
      </c>
      <c r="I182" s="17" t="s">
        <v>49</v>
      </c>
      <c r="J182" s="17" t="s">
        <v>48</v>
      </c>
      <c r="K182" s="17"/>
      <c r="L182" s="17"/>
      <c r="M182" s="16" t="str">
        <f>HYPERLINK("http://slimages.macys.com/is/image/MCY/19483143 ")</f>
        <v xml:space="preserve">http://slimages.macys.com/is/image/MCY/19483143 </v>
      </c>
      <c r="N182" s="30"/>
    </row>
    <row r="183" spans="1:14" ht="60" x14ac:dyDescent="0.25">
      <c r="A183" s="19" t="s">
        <v>5836</v>
      </c>
      <c r="B183" s="17" t="s">
        <v>5835</v>
      </c>
      <c r="C183" s="20">
        <v>1</v>
      </c>
      <c r="D183" s="18">
        <v>69</v>
      </c>
      <c r="E183" s="20" t="s">
        <v>5834</v>
      </c>
      <c r="F183" s="17" t="s">
        <v>23</v>
      </c>
      <c r="G183" s="19" t="s">
        <v>62</v>
      </c>
      <c r="H183" s="18">
        <v>15.226666666666667</v>
      </c>
      <c r="I183" s="17" t="s">
        <v>49</v>
      </c>
      <c r="J183" s="17" t="s">
        <v>48</v>
      </c>
      <c r="K183" s="17"/>
      <c r="L183" s="17"/>
      <c r="M183" s="16" t="str">
        <f>HYPERLINK("http://slimages.macys.com/is/image/MCY/19352451 ")</f>
        <v xml:space="preserve">http://slimages.macys.com/is/image/MCY/19352451 </v>
      </c>
      <c r="N183" s="30"/>
    </row>
    <row r="184" spans="1:14" ht="60" x14ac:dyDescent="0.25">
      <c r="A184" s="19" t="s">
        <v>5833</v>
      </c>
      <c r="B184" s="17" t="s">
        <v>5832</v>
      </c>
      <c r="C184" s="20">
        <v>1</v>
      </c>
      <c r="D184" s="18">
        <v>69</v>
      </c>
      <c r="E184" s="20" t="s">
        <v>545</v>
      </c>
      <c r="F184" s="17" t="s">
        <v>345</v>
      </c>
      <c r="G184" s="19" t="s">
        <v>62</v>
      </c>
      <c r="H184" s="18">
        <v>15.226666666666667</v>
      </c>
      <c r="I184" s="17" t="s">
        <v>49</v>
      </c>
      <c r="J184" s="17" t="s">
        <v>48</v>
      </c>
      <c r="K184" s="17"/>
      <c r="L184" s="17"/>
      <c r="M184" s="16" t="str">
        <f>HYPERLINK("http://slimages.macys.com/is/image/MCY/19483143 ")</f>
        <v xml:space="preserve">http://slimages.macys.com/is/image/MCY/19483143 </v>
      </c>
      <c r="N184" s="30"/>
    </row>
    <row r="185" spans="1:14" ht="60" x14ac:dyDescent="0.25">
      <c r="A185" s="19" t="s">
        <v>5831</v>
      </c>
      <c r="B185" s="17" t="s">
        <v>5830</v>
      </c>
      <c r="C185" s="20">
        <v>10</v>
      </c>
      <c r="D185" s="18">
        <v>60</v>
      </c>
      <c r="E185" s="20" t="s">
        <v>1958</v>
      </c>
      <c r="F185" s="17" t="s">
        <v>51</v>
      </c>
      <c r="G185" s="19" t="s">
        <v>50</v>
      </c>
      <c r="H185" s="18">
        <v>14.92</v>
      </c>
      <c r="I185" s="17" t="s">
        <v>16</v>
      </c>
      <c r="J185" s="17" t="s">
        <v>15</v>
      </c>
      <c r="K185" s="17"/>
      <c r="L185" s="17"/>
      <c r="M185" s="16" t="str">
        <f>HYPERLINK("http://slimages.macys.com/is/image/MCY/19546761 ")</f>
        <v xml:space="preserve">http://slimages.macys.com/is/image/MCY/19546761 </v>
      </c>
      <c r="N185" s="30"/>
    </row>
    <row r="186" spans="1:14" ht="60" x14ac:dyDescent="0.25">
      <c r="A186" s="19" t="s">
        <v>5829</v>
      </c>
      <c r="B186" s="17" t="s">
        <v>5828</v>
      </c>
      <c r="C186" s="20">
        <v>6</v>
      </c>
      <c r="D186" s="18">
        <v>60</v>
      </c>
      <c r="E186" s="20" t="s">
        <v>1958</v>
      </c>
      <c r="F186" s="17" t="s">
        <v>51</v>
      </c>
      <c r="G186" s="19" t="s">
        <v>17</v>
      </c>
      <c r="H186" s="18">
        <v>14.92</v>
      </c>
      <c r="I186" s="17" t="s">
        <v>16</v>
      </c>
      <c r="J186" s="17" t="s">
        <v>15</v>
      </c>
      <c r="K186" s="17"/>
      <c r="L186" s="17"/>
      <c r="M186" s="16" t="str">
        <f>HYPERLINK("http://slimages.macys.com/is/image/MCY/19546761 ")</f>
        <v xml:space="preserve">http://slimages.macys.com/is/image/MCY/19546761 </v>
      </c>
      <c r="N186" s="30"/>
    </row>
    <row r="187" spans="1:14" ht="60" x14ac:dyDescent="0.25">
      <c r="A187" s="19" t="s">
        <v>1962</v>
      </c>
      <c r="B187" s="17" t="s">
        <v>1961</v>
      </c>
      <c r="C187" s="20">
        <v>5</v>
      </c>
      <c r="D187" s="18">
        <v>60</v>
      </c>
      <c r="E187" s="20" t="s">
        <v>1958</v>
      </c>
      <c r="F187" s="17" t="s">
        <v>51</v>
      </c>
      <c r="G187" s="19" t="s">
        <v>101</v>
      </c>
      <c r="H187" s="18">
        <v>14.92</v>
      </c>
      <c r="I187" s="17" t="s">
        <v>16</v>
      </c>
      <c r="J187" s="17" t="s">
        <v>15</v>
      </c>
      <c r="K187" s="17"/>
      <c r="L187" s="17"/>
      <c r="M187" s="16" t="str">
        <f>HYPERLINK("http://slimages.macys.com/is/image/MCY/19546761 ")</f>
        <v xml:space="preserve">http://slimages.macys.com/is/image/MCY/19546761 </v>
      </c>
      <c r="N187" s="30"/>
    </row>
    <row r="188" spans="1:14" ht="60" x14ac:dyDescent="0.25">
      <c r="A188" s="19" t="s">
        <v>1966</v>
      </c>
      <c r="B188" s="17" t="s">
        <v>1965</v>
      </c>
      <c r="C188" s="20">
        <v>6</v>
      </c>
      <c r="D188" s="18">
        <v>60</v>
      </c>
      <c r="E188" s="20" t="s">
        <v>1958</v>
      </c>
      <c r="F188" s="17" t="s">
        <v>51</v>
      </c>
      <c r="G188" s="19" t="s">
        <v>22</v>
      </c>
      <c r="H188" s="18">
        <v>14.92</v>
      </c>
      <c r="I188" s="17" t="s">
        <v>16</v>
      </c>
      <c r="J188" s="17" t="s">
        <v>15</v>
      </c>
      <c r="K188" s="17"/>
      <c r="L188" s="17"/>
      <c r="M188" s="16" t="str">
        <f>HYPERLINK("http://slimages.macys.com/is/image/MCY/19546761 ")</f>
        <v xml:space="preserve">http://slimages.macys.com/is/image/MCY/19546761 </v>
      </c>
      <c r="N188" s="30"/>
    </row>
    <row r="189" spans="1:14" ht="60" x14ac:dyDescent="0.25">
      <c r="A189" s="19" t="s">
        <v>1964</v>
      </c>
      <c r="B189" s="17" t="s">
        <v>1963</v>
      </c>
      <c r="C189" s="20">
        <v>11</v>
      </c>
      <c r="D189" s="18">
        <v>60</v>
      </c>
      <c r="E189" s="20" t="s">
        <v>1958</v>
      </c>
      <c r="F189" s="17" t="s">
        <v>51</v>
      </c>
      <c r="G189" s="19" t="s">
        <v>62</v>
      </c>
      <c r="H189" s="18">
        <v>14.92</v>
      </c>
      <c r="I189" s="17" t="s">
        <v>16</v>
      </c>
      <c r="J189" s="17" t="s">
        <v>15</v>
      </c>
      <c r="K189" s="17"/>
      <c r="L189" s="17"/>
      <c r="M189" s="16" t="str">
        <f>HYPERLINK("http://slimages.macys.com/is/image/MCY/19546761 ")</f>
        <v xml:space="preserve">http://slimages.macys.com/is/image/MCY/19546761 </v>
      </c>
      <c r="N189" s="30"/>
    </row>
    <row r="190" spans="1:14" ht="60" x14ac:dyDescent="0.25">
      <c r="A190" s="19" t="s">
        <v>5827</v>
      </c>
      <c r="B190" s="17" t="s">
        <v>5826</v>
      </c>
      <c r="C190" s="20">
        <v>1</v>
      </c>
      <c r="D190" s="18">
        <v>59.25</v>
      </c>
      <c r="E190" s="20" t="s">
        <v>5825</v>
      </c>
      <c r="F190" s="17" t="s">
        <v>35</v>
      </c>
      <c r="G190" s="19" t="s">
        <v>271</v>
      </c>
      <c r="H190" s="18">
        <v>14.906666666666668</v>
      </c>
      <c r="I190" s="17" t="s">
        <v>358</v>
      </c>
      <c r="J190" s="17" t="s">
        <v>32</v>
      </c>
      <c r="K190" s="17"/>
      <c r="L190" s="17"/>
      <c r="M190" s="16" t="str">
        <f>HYPERLINK("http://slimages.macys.com/is/image/MCY/19548008 ")</f>
        <v xml:space="preserve">http://slimages.macys.com/is/image/MCY/19548008 </v>
      </c>
      <c r="N190" s="30"/>
    </row>
    <row r="191" spans="1:14" ht="96" x14ac:dyDescent="0.25">
      <c r="A191" s="19" t="s">
        <v>5824</v>
      </c>
      <c r="B191" s="17" t="s">
        <v>5823</v>
      </c>
      <c r="C191" s="20">
        <v>1</v>
      </c>
      <c r="D191" s="18">
        <v>89</v>
      </c>
      <c r="E191" s="20" t="s">
        <v>5822</v>
      </c>
      <c r="F191" s="17" t="s">
        <v>91</v>
      </c>
      <c r="G191" s="19" t="s">
        <v>101</v>
      </c>
      <c r="H191" s="18">
        <v>14.833333333333334</v>
      </c>
      <c r="I191" s="17" t="s">
        <v>129</v>
      </c>
      <c r="J191" s="17" t="s">
        <v>128</v>
      </c>
      <c r="K191" s="17" t="s">
        <v>637</v>
      </c>
      <c r="L191" s="17" t="s">
        <v>5489</v>
      </c>
      <c r="M191" s="16" t="str">
        <f>HYPERLINK("http://images.bloomingdales.com/is/image/BLM/11504203 ")</f>
        <v xml:space="preserve">http://images.bloomingdales.com/is/image/BLM/11504203 </v>
      </c>
      <c r="N191" s="30"/>
    </row>
    <row r="192" spans="1:14" ht="60" x14ac:dyDescent="0.25">
      <c r="A192" s="19" t="s">
        <v>3725</v>
      </c>
      <c r="B192" s="17" t="s">
        <v>3724</v>
      </c>
      <c r="C192" s="20">
        <v>12</v>
      </c>
      <c r="D192" s="18">
        <v>69.5</v>
      </c>
      <c r="E192" s="20" t="s">
        <v>3723</v>
      </c>
      <c r="F192" s="17" t="s">
        <v>85</v>
      </c>
      <c r="G192" s="19" t="s">
        <v>74</v>
      </c>
      <c r="H192" s="18">
        <v>14.833333333333334</v>
      </c>
      <c r="I192" s="17" t="s">
        <v>80</v>
      </c>
      <c r="J192" s="17" t="s">
        <v>531</v>
      </c>
      <c r="K192" s="17"/>
      <c r="L192" s="17"/>
      <c r="M192" s="16" t="str">
        <f>HYPERLINK("http://slimages.macys.com/is/image/MCY/18293470 ")</f>
        <v xml:space="preserve">http://slimages.macys.com/is/image/MCY/18293470 </v>
      </c>
      <c r="N192" s="30"/>
    </row>
    <row r="193" spans="1:14" ht="60" x14ac:dyDescent="0.25">
      <c r="A193" s="19" t="s">
        <v>5821</v>
      </c>
      <c r="B193" s="17" t="s">
        <v>5820</v>
      </c>
      <c r="C193" s="20">
        <v>6</v>
      </c>
      <c r="D193" s="18">
        <v>69.5</v>
      </c>
      <c r="E193" s="20" t="s">
        <v>3723</v>
      </c>
      <c r="F193" s="17" t="s">
        <v>85</v>
      </c>
      <c r="G193" s="19" t="s">
        <v>57</v>
      </c>
      <c r="H193" s="18">
        <v>14.833333333333334</v>
      </c>
      <c r="I193" s="17" t="s">
        <v>80</v>
      </c>
      <c r="J193" s="17" t="s">
        <v>531</v>
      </c>
      <c r="K193" s="17"/>
      <c r="L193" s="17"/>
      <c r="M193" s="16" t="str">
        <f>HYPERLINK("http://slimages.macys.com/is/image/MCY/18293470 ")</f>
        <v xml:space="preserve">http://slimages.macys.com/is/image/MCY/18293470 </v>
      </c>
      <c r="N193" s="30"/>
    </row>
    <row r="194" spans="1:14" ht="60" x14ac:dyDescent="0.25">
      <c r="A194" s="19" t="s">
        <v>5819</v>
      </c>
      <c r="B194" s="17" t="s">
        <v>5818</v>
      </c>
      <c r="C194" s="20">
        <v>1</v>
      </c>
      <c r="D194" s="18">
        <v>79</v>
      </c>
      <c r="E194" s="20" t="s">
        <v>5817</v>
      </c>
      <c r="F194" s="17" t="s">
        <v>58</v>
      </c>
      <c r="G194" s="19" t="s">
        <v>698</v>
      </c>
      <c r="H194" s="18">
        <v>14.746666666666668</v>
      </c>
      <c r="I194" s="17" t="s">
        <v>820</v>
      </c>
      <c r="J194" s="17" t="s">
        <v>67</v>
      </c>
      <c r="K194" s="17"/>
      <c r="L194" s="17"/>
      <c r="M194" s="16" t="str">
        <f>HYPERLINK("http://slimages.macys.com/is/image/MCY/19686695 ")</f>
        <v xml:space="preserve">http://slimages.macys.com/is/image/MCY/19686695 </v>
      </c>
      <c r="N194" s="30"/>
    </row>
    <row r="195" spans="1:14" ht="60" x14ac:dyDescent="0.25">
      <c r="A195" s="19" t="s">
        <v>5816</v>
      </c>
      <c r="B195" s="17" t="s">
        <v>5815</v>
      </c>
      <c r="C195" s="20">
        <v>1</v>
      </c>
      <c r="D195" s="18">
        <v>89</v>
      </c>
      <c r="E195" s="20" t="s">
        <v>5814</v>
      </c>
      <c r="F195" s="17" t="s">
        <v>562</v>
      </c>
      <c r="G195" s="19"/>
      <c r="H195" s="18">
        <v>14.666666666666668</v>
      </c>
      <c r="I195" s="17" t="s">
        <v>550</v>
      </c>
      <c r="J195" s="17" t="s">
        <v>1163</v>
      </c>
      <c r="K195" s="17"/>
      <c r="L195" s="17"/>
      <c r="M195" s="16" t="str">
        <f>HYPERLINK("http://slimages.macys.com/is/image/MCY/18188591 ")</f>
        <v xml:space="preserve">http://slimages.macys.com/is/image/MCY/18188591 </v>
      </c>
      <c r="N195" s="30"/>
    </row>
    <row r="196" spans="1:14" ht="72" x14ac:dyDescent="0.25">
      <c r="A196" s="19" t="s">
        <v>5813</v>
      </c>
      <c r="B196" s="17" t="s">
        <v>5812</v>
      </c>
      <c r="C196" s="20">
        <v>1</v>
      </c>
      <c r="D196" s="18">
        <v>79</v>
      </c>
      <c r="E196" s="20" t="s">
        <v>3705</v>
      </c>
      <c r="F196" s="17" t="s">
        <v>164</v>
      </c>
      <c r="G196" s="19" t="s">
        <v>69</v>
      </c>
      <c r="H196" s="18">
        <v>14.586666666666668</v>
      </c>
      <c r="I196" s="17" t="s">
        <v>405</v>
      </c>
      <c r="J196" s="17" t="s">
        <v>404</v>
      </c>
      <c r="K196" s="17" t="s">
        <v>1945</v>
      </c>
      <c r="L196" s="17" t="s">
        <v>3704</v>
      </c>
      <c r="M196" s="16" t="str">
        <f>HYPERLINK("http://images.bloomingdales.com/is/image/BLM/11728017 ")</f>
        <v xml:space="preserve">http://images.bloomingdales.com/is/image/BLM/11728017 </v>
      </c>
      <c r="N196" s="30"/>
    </row>
    <row r="197" spans="1:14" ht="60" x14ac:dyDescent="0.25">
      <c r="A197" s="19" t="s">
        <v>5811</v>
      </c>
      <c r="B197" s="17" t="s">
        <v>5810</v>
      </c>
      <c r="C197" s="20">
        <v>1</v>
      </c>
      <c r="D197" s="18">
        <v>79</v>
      </c>
      <c r="E197" s="20" t="s">
        <v>5809</v>
      </c>
      <c r="F197" s="17" t="s">
        <v>51</v>
      </c>
      <c r="G197" s="19" t="s">
        <v>69</v>
      </c>
      <c r="H197" s="18">
        <v>14.586666666666668</v>
      </c>
      <c r="I197" s="17" t="s">
        <v>405</v>
      </c>
      <c r="J197" s="17" t="s">
        <v>404</v>
      </c>
      <c r="K197" s="17"/>
      <c r="L197" s="17"/>
      <c r="M197" s="16" t="str">
        <f>HYPERLINK("http://slimages.macys.com/is/image/MCY/19026475 ")</f>
        <v xml:space="preserve">http://slimages.macys.com/is/image/MCY/19026475 </v>
      </c>
      <c r="N197" s="30"/>
    </row>
    <row r="198" spans="1:14" ht="60" x14ac:dyDescent="0.25">
      <c r="A198" s="19" t="s">
        <v>5808</v>
      </c>
      <c r="B198" s="17" t="s">
        <v>5807</v>
      </c>
      <c r="C198" s="20">
        <v>1</v>
      </c>
      <c r="D198" s="18">
        <v>79</v>
      </c>
      <c r="E198" s="20" t="s">
        <v>5806</v>
      </c>
      <c r="F198" s="17" t="s">
        <v>1408</v>
      </c>
      <c r="G198" s="19" t="s">
        <v>197</v>
      </c>
      <c r="H198" s="18">
        <v>14.586666666666668</v>
      </c>
      <c r="I198" s="17" t="s">
        <v>405</v>
      </c>
      <c r="J198" s="17" t="s">
        <v>404</v>
      </c>
      <c r="K198" s="17"/>
      <c r="L198" s="17"/>
      <c r="M198" s="16" t="str">
        <f>HYPERLINK("http://slimages.macys.com/is/image/MCY/17417823 ")</f>
        <v xml:space="preserve">http://slimages.macys.com/is/image/MCY/17417823 </v>
      </c>
      <c r="N198" s="30"/>
    </row>
    <row r="199" spans="1:14" ht="60" x14ac:dyDescent="0.25">
      <c r="A199" s="19" t="s">
        <v>5805</v>
      </c>
      <c r="B199" s="17" t="s">
        <v>5804</v>
      </c>
      <c r="C199" s="20">
        <v>1</v>
      </c>
      <c r="D199" s="18">
        <v>51.75</v>
      </c>
      <c r="E199" s="20">
        <v>10771498</v>
      </c>
      <c r="F199" s="17" t="s">
        <v>28</v>
      </c>
      <c r="G199" s="19" t="s">
        <v>351</v>
      </c>
      <c r="H199" s="18">
        <v>14.493333333333334</v>
      </c>
      <c r="I199" s="17" t="s">
        <v>358</v>
      </c>
      <c r="J199" s="17" t="s">
        <v>143</v>
      </c>
      <c r="K199" s="17"/>
      <c r="L199" s="17"/>
      <c r="M199" s="16" t="str">
        <f>HYPERLINK("http://slimages.macys.com/is/image/MCY/18706431 ")</f>
        <v xml:space="preserve">http://slimages.macys.com/is/image/MCY/18706431 </v>
      </c>
      <c r="N199" s="30"/>
    </row>
    <row r="200" spans="1:14" ht="60" x14ac:dyDescent="0.25">
      <c r="A200" s="19" t="s">
        <v>5102</v>
      </c>
      <c r="B200" s="17" t="s">
        <v>5101</v>
      </c>
      <c r="C200" s="20">
        <v>1</v>
      </c>
      <c r="D200" s="18">
        <v>59.25</v>
      </c>
      <c r="E200" s="20">
        <v>10735730</v>
      </c>
      <c r="F200" s="17" t="s">
        <v>544</v>
      </c>
      <c r="G200" s="19" t="s">
        <v>916</v>
      </c>
      <c r="H200" s="18">
        <v>14.493333333333334</v>
      </c>
      <c r="I200" s="17" t="s">
        <v>358</v>
      </c>
      <c r="J200" s="17" t="s">
        <v>143</v>
      </c>
      <c r="K200" s="17"/>
      <c r="L200" s="17"/>
      <c r="M200" s="16" t="str">
        <f>HYPERLINK("http://slimages.macys.com/is/image/MCY/19486565 ")</f>
        <v xml:space="preserve">http://slimages.macys.com/is/image/MCY/19486565 </v>
      </c>
      <c r="N200" s="30"/>
    </row>
    <row r="201" spans="1:14" ht="60" x14ac:dyDescent="0.25">
      <c r="A201" s="19" t="s">
        <v>5096</v>
      </c>
      <c r="B201" s="17" t="s">
        <v>5095</v>
      </c>
      <c r="C201" s="20">
        <v>1</v>
      </c>
      <c r="D201" s="18">
        <v>59.25</v>
      </c>
      <c r="E201" s="20">
        <v>10735730</v>
      </c>
      <c r="F201" s="17" t="s">
        <v>544</v>
      </c>
      <c r="G201" s="19" t="s">
        <v>1445</v>
      </c>
      <c r="H201" s="18">
        <v>14.493333333333334</v>
      </c>
      <c r="I201" s="17" t="s">
        <v>358</v>
      </c>
      <c r="J201" s="17" t="s">
        <v>143</v>
      </c>
      <c r="K201" s="17"/>
      <c r="L201" s="17"/>
      <c r="M201" s="16" t="str">
        <f>HYPERLINK("http://slimages.macys.com/is/image/MCY/19486565 ")</f>
        <v xml:space="preserve">http://slimages.macys.com/is/image/MCY/19486565 </v>
      </c>
      <c r="N201" s="30"/>
    </row>
    <row r="202" spans="1:14" ht="60" x14ac:dyDescent="0.25">
      <c r="A202" s="19" t="s">
        <v>5803</v>
      </c>
      <c r="B202" s="17" t="s">
        <v>5802</v>
      </c>
      <c r="C202" s="20">
        <v>1</v>
      </c>
      <c r="D202" s="18">
        <v>69</v>
      </c>
      <c r="E202" s="20">
        <v>10802604</v>
      </c>
      <c r="F202" s="17" t="s">
        <v>35</v>
      </c>
      <c r="G202" s="19" t="s">
        <v>62</v>
      </c>
      <c r="H202" s="18">
        <v>14.26</v>
      </c>
      <c r="I202" s="17" t="s">
        <v>144</v>
      </c>
      <c r="J202" s="17" t="s">
        <v>143</v>
      </c>
      <c r="K202" s="17"/>
      <c r="L202" s="17"/>
      <c r="M202" s="16" t="str">
        <f>HYPERLINK("http://slimages.macys.com/is/image/MCY/19644138 ")</f>
        <v xml:space="preserve">http://slimages.macys.com/is/image/MCY/19644138 </v>
      </c>
      <c r="N202" s="30"/>
    </row>
    <row r="203" spans="1:14" ht="60" x14ac:dyDescent="0.25">
      <c r="A203" s="19" t="s">
        <v>5801</v>
      </c>
      <c r="B203" s="17" t="s">
        <v>5800</v>
      </c>
      <c r="C203" s="20">
        <v>1</v>
      </c>
      <c r="D203" s="18">
        <v>69.5</v>
      </c>
      <c r="E203" s="20" t="s">
        <v>5799</v>
      </c>
      <c r="F203" s="17" t="s">
        <v>544</v>
      </c>
      <c r="G203" s="19" t="s">
        <v>69</v>
      </c>
      <c r="H203" s="18">
        <v>14.000000000000002</v>
      </c>
      <c r="I203" s="17" t="s">
        <v>106</v>
      </c>
      <c r="J203" s="17" t="s">
        <v>105</v>
      </c>
      <c r="K203" s="17"/>
      <c r="L203" s="17"/>
      <c r="M203" s="16" t="str">
        <f>HYPERLINK("http://slimages.macys.com/is/image/MCY/18684335 ")</f>
        <v xml:space="preserve">http://slimages.macys.com/is/image/MCY/18684335 </v>
      </c>
      <c r="N203" s="30"/>
    </row>
    <row r="204" spans="1:14" ht="60" x14ac:dyDescent="0.25">
      <c r="A204" s="19" t="s">
        <v>5090</v>
      </c>
      <c r="B204" s="17" t="s">
        <v>5089</v>
      </c>
      <c r="C204" s="20">
        <v>1</v>
      </c>
      <c r="D204" s="18">
        <v>69</v>
      </c>
      <c r="E204" s="20">
        <v>10804950</v>
      </c>
      <c r="F204" s="17" t="s">
        <v>282</v>
      </c>
      <c r="G204" s="19" t="s">
        <v>271</v>
      </c>
      <c r="H204" s="18">
        <v>13.799999999999999</v>
      </c>
      <c r="I204" s="17" t="s">
        <v>358</v>
      </c>
      <c r="J204" s="17" t="s">
        <v>554</v>
      </c>
      <c r="K204" s="17"/>
      <c r="L204" s="17"/>
      <c r="M204" s="16" t="str">
        <f>HYPERLINK("http://slimages.macys.com/is/image/MCY/19205603 ")</f>
        <v xml:space="preserve">http://slimages.macys.com/is/image/MCY/19205603 </v>
      </c>
      <c r="N204" s="30"/>
    </row>
    <row r="205" spans="1:14" ht="60" x14ac:dyDescent="0.25">
      <c r="A205" s="19" t="s">
        <v>5798</v>
      </c>
      <c r="B205" s="17" t="s">
        <v>5797</v>
      </c>
      <c r="C205" s="20">
        <v>1</v>
      </c>
      <c r="D205" s="18">
        <v>79</v>
      </c>
      <c r="E205" s="20" t="s">
        <v>3669</v>
      </c>
      <c r="F205" s="17" t="s">
        <v>51</v>
      </c>
      <c r="G205" s="19" t="s">
        <v>5086</v>
      </c>
      <c r="H205" s="18">
        <v>13.666666666666666</v>
      </c>
      <c r="I205" s="17" t="s">
        <v>550</v>
      </c>
      <c r="J205" s="17" t="s">
        <v>1090</v>
      </c>
      <c r="K205" s="17"/>
      <c r="L205" s="17"/>
      <c r="M205" s="16" t="str">
        <f>HYPERLINK("http://slimages.macys.com/is/image/MCY/17942386 ")</f>
        <v xml:space="preserve">http://slimages.macys.com/is/image/MCY/17942386 </v>
      </c>
      <c r="N205" s="30"/>
    </row>
    <row r="206" spans="1:14" ht="60" x14ac:dyDescent="0.25">
      <c r="A206" s="19" t="s">
        <v>5796</v>
      </c>
      <c r="B206" s="17" t="s">
        <v>5795</v>
      </c>
      <c r="C206" s="20">
        <v>2</v>
      </c>
      <c r="D206" s="18">
        <v>74</v>
      </c>
      <c r="E206" s="20" t="s">
        <v>1936</v>
      </c>
      <c r="F206" s="17" t="s">
        <v>1356</v>
      </c>
      <c r="G206" s="19" t="s">
        <v>74</v>
      </c>
      <c r="H206" s="18">
        <v>13.333333333333334</v>
      </c>
      <c r="I206" s="17" t="s">
        <v>148</v>
      </c>
      <c r="J206" s="17" t="s">
        <v>409</v>
      </c>
      <c r="K206" s="17"/>
      <c r="L206" s="17"/>
      <c r="M206" s="16" t="str">
        <f>HYPERLINK("http://slimages.macys.com/is/image/MCY/18860435 ")</f>
        <v xml:space="preserve">http://slimages.macys.com/is/image/MCY/18860435 </v>
      </c>
      <c r="N206" s="30"/>
    </row>
    <row r="207" spans="1:14" ht="60" x14ac:dyDescent="0.25">
      <c r="A207" s="19" t="s">
        <v>5794</v>
      </c>
      <c r="B207" s="17" t="s">
        <v>5793</v>
      </c>
      <c r="C207" s="20">
        <v>1</v>
      </c>
      <c r="D207" s="18">
        <v>69</v>
      </c>
      <c r="E207" s="20" t="s">
        <v>1164</v>
      </c>
      <c r="F207" s="17" t="s">
        <v>282</v>
      </c>
      <c r="G207" s="19" t="s">
        <v>658</v>
      </c>
      <c r="H207" s="18">
        <v>13.333333333333334</v>
      </c>
      <c r="I207" s="17" t="s">
        <v>550</v>
      </c>
      <c r="J207" s="17" t="s">
        <v>1163</v>
      </c>
      <c r="K207" s="17"/>
      <c r="L207" s="17"/>
      <c r="M207" s="16" t="str">
        <f>HYPERLINK("http://slimages.macys.com/is/image/MCY/18241862 ")</f>
        <v xml:space="preserve">http://slimages.macys.com/is/image/MCY/18241862 </v>
      </c>
      <c r="N207" s="30"/>
    </row>
    <row r="208" spans="1:14" ht="60" x14ac:dyDescent="0.25">
      <c r="A208" s="19" t="s">
        <v>5792</v>
      </c>
      <c r="B208" s="17" t="s">
        <v>5791</v>
      </c>
      <c r="C208" s="20">
        <v>1</v>
      </c>
      <c r="D208" s="18">
        <v>79.5</v>
      </c>
      <c r="E208" s="20">
        <v>30157137</v>
      </c>
      <c r="F208" s="17" t="s">
        <v>28</v>
      </c>
      <c r="G208" s="19" t="s">
        <v>749</v>
      </c>
      <c r="H208" s="18">
        <v>13.253333333333334</v>
      </c>
      <c r="I208" s="17" t="s">
        <v>481</v>
      </c>
      <c r="J208" s="17" t="s">
        <v>480</v>
      </c>
      <c r="K208" s="17"/>
      <c r="L208" s="17"/>
      <c r="M208" s="16" t="str">
        <f>HYPERLINK("http://slimages.macys.com/is/image/MCY/21168155 ")</f>
        <v xml:space="preserve">http://slimages.macys.com/is/image/MCY/21168155 </v>
      </c>
      <c r="N208" s="30"/>
    </row>
    <row r="209" spans="1:14" ht="60" x14ac:dyDescent="0.25">
      <c r="A209" s="19" t="s">
        <v>5790</v>
      </c>
      <c r="B209" s="17" t="s">
        <v>5789</v>
      </c>
      <c r="C209" s="20">
        <v>1</v>
      </c>
      <c r="D209" s="18">
        <v>59</v>
      </c>
      <c r="E209" s="20" t="s">
        <v>5788</v>
      </c>
      <c r="F209" s="17" t="s">
        <v>91</v>
      </c>
      <c r="G209" s="19" t="s">
        <v>62</v>
      </c>
      <c r="H209" s="18">
        <v>13.213333333333333</v>
      </c>
      <c r="I209" s="17" t="s">
        <v>49</v>
      </c>
      <c r="J209" s="17" t="s">
        <v>48</v>
      </c>
      <c r="K209" s="17" t="s">
        <v>389</v>
      </c>
      <c r="L209" s="17" t="s">
        <v>5787</v>
      </c>
      <c r="M209" s="16" t="str">
        <f>HYPERLINK("http://slimages.macys.com/is/image/MCY/19738258 ")</f>
        <v xml:space="preserve">http://slimages.macys.com/is/image/MCY/19738258 </v>
      </c>
      <c r="N209" s="30"/>
    </row>
    <row r="210" spans="1:14" ht="60" x14ac:dyDescent="0.25">
      <c r="A210" s="19" t="s">
        <v>5786</v>
      </c>
      <c r="B210" s="17" t="s">
        <v>5785</v>
      </c>
      <c r="C210" s="20">
        <v>1</v>
      </c>
      <c r="D210" s="18">
        <v>52.49</v>
      </c>
      <c r="E210" s="20" t="s">
        <v>5784</v>
      </c>
      <c r="F210" s="17" t="s">
        <v>44</v>
      </c>
      <c r="G210" s="19" t="s">
        <v>1191</v>
      </c>
      <c r="H210" s="18">
        <v>13.206666666666667</v>
      </c>
      <c r="I210" s="17" t="s">
        <v>358</v>
      </c>
      <c r="J210" s="17" t="s">
        <v>32</v>
      </c>
      <c r="K210" s="17" t="s">
        <v>389</v>
      </c>
      <c r="L210" s="17" t="s">
        <v>3658</v>
      </c>
      <c r="M210" s="16" t="str">
        <f>HYPERLINK("http://slimages.macys.com/is/image/MCY/11714609 ")</f>
        <v xml:space="preserve">http://slimages.macys.com/is/image/MCY/11714609 </v>
      </c>
      <c r="N210" s="30"/>
    </row>
    <row r="211" spans="1:14" ht="60" x14ac:dyDescent="0.25">
      <c r="A211" s="19" t="s">
        <v>5783</v>
      </c>
      <c r="B211" s="17" t="s">
        <v>5782</v>
      </c>
      <c r="C211" s="20">
        <v>1</v>
      </c>
      <c r="D211" s="18">
        <v>99</v>
      </c>
      <c r="E211" s="20" t="s">
        <v>5781</v>
      </c>
      <c r="F211" s="17" t="s">
        <v>23</v>
      </c>
      <c r="G211" s="19" t="s">
        <v>749</v>
      </c>
      <c r="H211" s="18">
        <v>13.200000000000001</v>
      </c>
      <c r="I211" s="17" t="s">
        <v>678</v>
      </c>
      <c r="J211" s="17" t="s">
        <v>404</v>
      </c>
      <c r="K211" s="17"/>
      <c r="L211" s="17"/>
      <c r="M211" s="16" t="str">
        <f>HYPERLINK("http://slimages.macys.com/is/image/MCY/19087758 ")</f>
        <v xml:space="preserve">http://slimages.macys.com/is/image/MCY/19087758 </v>
      </c>
      <c r="N211" s="30"/>
    </row>
    <row r="212" spans="1:14" ht="60" x14ac:dyDescent="0.25">
      <c r="A212" s="19" t="s">
        <v>5780</v>
      </c>
      <c r="B212" s="17" t="s">
        <v>5779</v>
      </c>
      <c r="C212" s="20">
        <v>1</v>
      </c>
      <c r="D212" s="18">
        <v>99</v>
      </c>
      <c r="E212" s="20">
        <v>9231114</v>
      </c>
      <c r="F212" s="17" t="s">
        <v>508</v>
      </c>
      <c r="G212" s="19" t="s">
        <v>351</v>
      </c>
      <c r="H212" s="18">
        <v>13.200000000000001</v>
      </c>
      <c r="I212" s="17" t="s">
        <v>138</v>
      </c>
      <c r="J212" s="17" t="s">
        <v>137</v>
      </c>
      <c r="K212" s="17"/>
      <c r="L212" s="17"/>
      <c r="M212" s="16" t="str">
        <f>HYPERLINK("http://slimages.macys.com/is/image/MCY/19311902 ")</f>
        <v xml:space="preserve">http://slimages.macys.com/is/image/MCY/19311902 </v>
      </c>
      <c r="N212" s="30"/>
    </row>
    <row r="213" spans="1:14" ht="72" x14ac:dyDescent="0.25">
      <c r="A213" s="19" t="s">
        <v>5778</v>
      </c>
      <c r="B213" s="17" t="s">
        <v>5777</v>
      </c>
      <c r="C213" s="20">
        <v>1</v>
      </c>
      <c r="D213" s="18">
        <v>79</v>
      </c>
      <c r="E213" s="20">
        <v>7099038</v>
      </c>
      <c r="F213" s="17" t="s">
        <v>149</v>
      </c>
      <c r="G213" s="19" t="s">
        <v>101</v>
      </c>
      <c r="H213" s="18">
        <v>13.166666666666668</v>
      </c>
      <c r="I213" s="17" t="s">
        <v>111</v>
      </c>
      <c r="J213" s="17" t="s">
        <v>110</v>
      </c>
      <c r="K213" s="17" t="s">
        <v>637</v>
      </c>
      <c r="L213" s="17" t="s">
        <v>4469</v>
      </c>
      <c r="M213" s="16" t="str">
        <f>HYPERLINK("http://images.bloomingdales.com/is/image/BLM/10978989 ")</f>
        <v xml:space="preserve">http://images.bloomingdales.com/is/image/BLM/10978989 </v>
      </c>
      <c r="N213" s="30"/>
    </row>
    <row r="214" spans="1:14" ht="60" x14ac:dyDescent="0.25">
      <c r="A214" s="19" t="s">
        <v>5776</v>
      </c>
      <c r="B214" s="17" t="s">
        <v>5775</v>
      </c>
      <c r="C214" s="20">
        <v>1</v>
      </c>
      <c r="D214" s="18">
        <v>79</v>
      </c>
      <c r="E214" s="20" t="s">
        <v>1923</v>
      </c>
      <c r="F214" s="17" t="s">
        <v>508</v>
      </c>
      <c r="G214" s="19" t="s">
        <v>43</v>
      </c>
      <c r="H214" s="18">
        <v>13.166666666666668</v>
      </c>
      <c r="I214" s="17" t="s">
        <v>129</v>
      </c>
      <c r="J214" s="17" t="s">
        <v>128</v>
      </c>
      <c r="K214" s="17"/>
      <c r="L214" s="17"/>
      <c r="M214" s="16" t="str">
        <f>HYPERLINK("http://slimages.macys.com/is/image/MCY/19114679 ")</f>
        <v xml:space="preserve">http://slimages.macys.com/is/image/MCY/19114679 </v>
      </c>
      <c r="N214" s="30"/>
    </row>
    <row r="215" spans="1:14" ht="60" x14ac:dyDescent="0.25">
      <c r="A215" s="19" t="s">
        <v>5774</v>
      </c>
      <c r="B215" s="17" t="s">
        <v>5773</v>
      </c>
      <c r="C215" s="20">
        <v>1</v>
      </c>
      <c r="D215" s="18">
        <v>79</v>
      </c>
      <c r="E215" s="20">
        <v>10777458</v>
      </c>
      <c r="F215" s="17" t="s">
        <v>575</v>
      </c>
      <c r="G215" s="19" t="s">
        <v>271</v>
      </c>
      <c r="H215" s="18">
        <v>13.166666666666668</v>
      </c>
      <c r="I215" s="17" t="s">
        <v>1307</v>
      </c>
      <c r="J215" s="17" t="s">
        <v>1306</v>
      </c>
      <c r="K215" s="17"/>
      <c r="L215" s="17"/>
      <c r="M215" s="16" t="str">
        <f>HYPERLINK("http://slimages.macys.com/is/image/MCY/18973355 ")</f>
        <v xml:space="preserve">http://slimages.macys.com/is/image/MCY/18973355 </v>
      </c>
      <c r="N215" s="30"/>
    </row>
    <row r="216" spans="1:14" ht="60" x14ac:dyDescent="0.25">
      <c r="A216" s="19" t="s">
        <v>5772</v>
      </c>
      <c r="B216" s="17" t="s">
        <v>5771</v>
      </c>
      <c r="C216" s="20">
        <v>1</v>
      </c>
      <c r="D216" s="18">
        <v>79</v>
      </c>
      <c r="E216" s="20" t="s">
        <v>5770</v>
      </c>
      <c r="F216" s="17" t="s">
        <v>544</v>
      </c>
      <c r="G216" s="19" t="s">
        <v>197</v>
      </c>
      <c r="H216" s="18">
        <v>13.166666666666668</v>
      </c>
      <c r="I216" s="17" t="s">
        <v>405</v>
      </c>
      <c r="J216" s="17" t="s">
        <v>404</v>
      </c>
      <c r="K216" s="17"/>
      <c r="L216" s="17"/>
      <c r="M216" s="16" t="str">
        <f>HYPERLINK("http://slimages.macys.com/is/image/MCY/17417656 ")</f>
        <v xml:space="preserve">http://slimages.macys.com/is/image/MCY/17417656 </v>
      </c>
      <c r="N216" s="30"/>
    </row>
    <row r="217" spans="1:14" ht="60" x14ac:dyDescent="0.25">
      <c r="A217" s="19" t="s">
        <v>5769</v>
      </c>
      <c r="B217" s="17" t="s">
        <v>5768</v>
      </c>
      <c r="C217" s="20">
        <v>1</v>
      </c>
      <c r="D217" s="18">
        <v>79</v>
      </c>
      <c r="E217" s="20" t="s">
        <v>5767</v>
      </c>
      <c r="F217" s="17" t="s">
        <v>508</v>
      </c>
      <c r="G217" s="19" t="s">
        <v>698</v>
      </c>
      <c r="H217" s="18">
        <v>13.166666666666668</v>
      </c>
      <c r="I217" s="17" t="s">
        <v>1363</v>
      </c>
      <c r="J217" s="17" t="s">
        <v>1362</v>
      </c>
      <c r="K217" s="17"/>
      <c r="L217" s="17"/>
      <c r="M217" s="16" t="str">
        <f>HYPERLINK("http://slimages.macys.com/is/image/MCY/19734605 ")</f>
        <v xml:space="preserve">http://slimages.macys.com/is/image/MCY/19734605 </v>
      </c>
      <c r="N217" s="30"/>
    </row>
    <row r="218" spans="1:14" ht="60" x14ac:dyDescent="0.25">
      <c r="A218" s="19" t="s">
        <v>3632</v>
      </c>
      <c r="B218" s="17" t="s">
        <v>3631</v>
      </c>
      <c r="C218" s="20">
        <v>1</v>
      </c>
      <c r="D218" s="18">
        <v>69.5</v>
      </c>
      <c r="E218" s="20" t="s">
        <v>3601</v>
      </c>
      <c r="F218" s="17" t="s">
        <v>216</v>
      </c>
      <c r="G218" s="19" t="s">
        <v>139</v>
      </c>
      <c r="H218" s="18">
        <v>13.086666666666668</v>
      </c>
      <c r="I218" s="17" t="s">
        <v>1891</v>
      </c>
      <c r="J218" s="17" t="s">
        <v>67</v>
      </c>
      <c r="K218" s="17"/>
      <c r="L218" s="17"/>
      <c r="M218" s="16" t="str">
        <f>HYPERLINK("http://slimages.macys.com/is/image/MCY/18981762 ")</f>
        <v xml:space="preserve">http://slimages.macys.com/is/image/MCY/18981762 </v>
      </c>
      <c r="N218" s="30"/>
    </row>
    <row r="219" spans="1:14" ht="60" x14ac:dyDescent="0.25">
      <c r="A219" s="19" t="s">
        <v>5766</v>
      </c>
      <c r="B219" s="17" t="s">
        <v>5765</v>
      </c>
      <c r="C219" s="20">
        <v>2</v>
      </c>
      <c r="D219" s="18">
        <v>59</v>
      </c>
      <c r="E219" s="20" t="s">
        <v>440</v>
      </c>
      <c r="F219" s="17" t="s">
        <v>23</v>
      </c>
      <c r="G219" s="19" t="s">
        <v>62</v>
      </c>
      <c r="H219" s="18">
        <v>13.020000000000001</v>
      </c>
      <c r="I219" s="17" t="s">
        <v>49</v>
      </c>
      <c r="J219" s="17" t="s">
        <v>48</v>
      </c>
      <c r="K219" s="17"/>
      <c r="L219" s="17"/>
      <c r="M219" s="16" t="str">
        <f>HYPERLINK("http://slimages.macys.com/is/image/MCY/19634640 ")</f>
        <v xml:space="preserve">http://slimages.macys.com/is/image/MCY/19634640 </v>
      </c>
      <c r="N219" s="30"/>
    </row>
    <row r="220" spans="1:14" ht="60" x14ac:dyDescent="0.25">
      <c r="A220" s="19" t="s">
        <v>5764</v>
      </c>
      <c r="B220" s="17" t="s">
        <v>5763</v>
      </c>
      <c r="C220" s="20">
        <v>1</v>
      </c>
      <c r="D220" s="18">
        <v>59</v>
      </c>
      <c r="E220" s="20" t="s">
        <v>1147</v>
      </c>
      <c r="F220" s="17" t="s">
        <v>28</v>
      </c>
      <c r="G220" s="19" t="s">
        <v>50</v>
      </c>
      <c r="H220" s="18">
        <v>13.020000000000001</v>
      </c>
      <c r="I220" s="17" t="s">
        <v>49</v>
      </c>
      <c r="J220" s="17" t="s">
        <v>48</v>
      </c>
      <c r="K220" s="17"/>
      <c r="L220" s="17"/>
      <c r="M220" s="16" t="str">
        <f>HYPERLINK("http://slimages.macys.com/is/image/MCY/18750027 ")</f>
        <v xml:space="preserve">http://slimages.macys.com/is/image/MCY/18750027 </v>
      </c>
      <c r="N220" s="30"/>
    </row>
    <row r="221" spans="1:14" ht="60" x14ac:dyDescent="0.25">
      <c r="A221" s="19" t="s">
        <v>1153</v>
      </c>
      <c r="B221" s="17" t="s">
        <v>1152</v>
      </c>
      <c r="C221" s="20">
        <v>1</v>
      </c>
      <c r="D221" s="18">
        <v>51.75</v>
      </c>
      <c r="E221" s="20" t="s">
        <v>1144</v>
      </c>
      <c r="F221" s="17" t="s">
        <v>272</v>
      </c>
      <c r="G221" s="19" t="s">
        <v>139</v>
      </c>
      <c r="H221" s="18">
        <v>13.020000000000001</v>
      </c>
      <c r="I221" s="17" t="s">
        <v>358</v>
      </c>
      <c r="J221" s="17" t="s">
        <v>32</v>
      </c>
      <c r="K221" s="17"/>
      <c r="L221" s="17"/>
      <c r="M221" s="16" t="str">
        <f>HYPERLINK("http://slimages.macys.com/is/image/MCY/19728027 ")</f>
        <v xml:space="preserve">http://slimages.macys.com/is/image/MCY/19728027 </v>
      </c>
      <c r="N221" s="30"/>
    </row>
    <row r="222" spans="1:14" ht="60" x14ac:dyDescent="0.25">
      <c r="A222" s="19" t="s">
        <v>1146</v>
      </c>
      <c r="B222" s="17" t="s">
        <v>1145</v>
      </c>
      <c r="C222" s="20">
        <v>2</v>
      </c>
      <c r="D222" s="18">
        <v>51.75</v>
      </c>
      <c r="E222" s="20" t="s">
        <v>1144</v>
      </c>
      <c r="F222" s="17" t="s">
        <v>272</v>
      </c>
      <c r="G222" s="19" t="s">
        <v>271</v>
      </c>
      <c r="H222" s="18">
        <v>13.020000000000001</v>
      </c>
      <c r="I222" s="17" t="s">
        <v>358</v>
      </c>
      <c r="J222" s="17" t="s">
        <v>32</v>
      </c>
      <c r="K222" s="17"/>
      <c r="L222" s="17"/>
      <c r="M222" s="16" t="str">
        <f>HYPERLINK("http://slimages.macys.com/is/image/MCY/19728027 ")</f>
        <v xml:space="preserve">http://slimages.macys.com/is/image/MCY/19728027 </v>
      </c>
      <c r="N222" s="30"/>
    </row>
    <row r="223" spans="1:14" ht="60" x14ac:dyDescent="0.25">
      <c r="A223" s="19" t="s">
        <v>1151</v>
      </c>
      <c r="B223" s="17" t="s">
        <v>1150</v>
      </c>
      <c r="C223" s="20">
        <v>1</v>
      </c>
      <c r="D223" s="18">
        <v>51.75</v>
      </c>
      <c r="E223" s="20" t="s">
        <v>1144</v>
      </c>
      <c r="F223" s="17" t="s">
        <v>272</v>
      </c>
      <c r="G223" s="19" t="s">
        <v>351</v>
      </c>
      <c r="H223" s="18">
        <v>13.020000000000001</v>
      </c>
      <c r="I223" s="17" t="s">
        <v>358</v>
      </c>
      <c r="J223" s="17" t="s">
        <v>32</v>
      </c>
      <c r="K223" s="17"/>
      <c r="L223" s="17"/>
      <c r="M223" s="16" t="str">
        <f>HYPERLINK("http://slimages.macys.com/is/image/MCY/19728027 ")</f>
        <v xml:space="preserve">http://slimages.macys.com/is/image/MCY/19728027 </v>
      </c>
      <c r="N223" s="30"/>
    </row>
    <row r="224" spans="1:14" ht="60" x14ac:dyDescent="0.25">
      <c r="A224" s="19" t="s">
        <v>5762</v>
      </c>
      <c r="B224" s="17" t="s">
        <v>5761</v>
      </c>
      <c r="C224" s="20">
        <v>1</v>
      </c>
      <c r="D224" s="18">
        <v>59</v>
      </c>
      <c r="E224" s="20" t="s">
        <v>3595</v>
      </c>
      <c r="F224" s="17" t="s">
        <v>3009</v>
      </c>
      <c r="G224" s="19" t="s">
        <v>62</v>
      </c>
      <c r="H224" s="18">
        <v>13.020000000000001</v>
      </c>
      <c r="I224" s="17" t="s">
        <v>49</v>
      </c>
      <c r="J224" s="17" t="s">
        <v>48</v>
      </c>
      <c r="K224" s="17"/>
      <c r="L224" s="17"/>
      <c r="M224" s="16" t="str">
        <f>HYPERLINK("http://slimages.macys.com/is/image/MCY/16632936 ")</f>
        <v xml:space="preserve">http://slimages.macys.com/is/image/MCY/16632936 </v>
      </c>
      <c r="N224" s="30"/>
    </row>
    <row r="225" spans="1:14" ht="60" x14ac:dyDescent="0.25">
      <c r="A225" s="19" t="s">
        <v>5760</v>
      </c>
      <c r="B225" s="17" t="s">
        <v>5759</v>
      </c>
      <c r="C225" s="20">
        <v>13</v>
      </c>
      <c r="D225" s="18">
        <v>59</v>
      </c>
      <c r="E225" s="20" t="s">
        <v>5758</v>
      </c>
      <c r="F225" s="17" t="s">
        <v>140</v>
      </c>
      <c r="G225" s="19" t="s">
        <v>62</v>
      </c>
      <c r="H225" s="18">
        <v>13.020000000000001</v>
      </c>
      <c r="I225" s="17" t="s">
        <v>49</v>
      </c>
      <c r="J225" s="17" t="s">
        <v>48</v>
      </c>
      <c r="K225" s="17"/>
      <c r="L225" s="17"/>
      <c r="M225" s="16" t="str">
        <f>HYPERLINK("http://slimages.macys.com/is/image/MCY/19191690 ")</f>
        <v xml:space="preserve">http://slimages.macys.com/is/image/MCY/19191690 </v>
      </c>
      <c r="N225" s="30"/>
    </row>
    <row r="226" spans="1:14" ht="60" x14ac:dyDescent="0.25">
      <c r="A226" s="19" t="s">
        <v>5757</v>
      </c>
      <c r="B226" s="17" t="s">
        <v>5756</v>
      </c>
      <c r="C226" s="20">
        <v>1</v>
      </c>
      <c r="D226" s="18">
        <v>59</v>
      </c>
      <c r="E226" s="20" t="s">
        <v>3595</v>
      </c>
      <c r="F226" s="17" t="s">
        <v>3009</v>
      </c>
      <c r="G226" s="19" t="s">
        <v>22</v>
      </c>
      <c r="H226" s="18">
        <v>13.020000000000001</v>
      </c>
      <c r="I226" s="17" t="s">
        <v>49</v>
      </c>
      <c r="J226" s="17" t="s">
        <v>48</v>
      </c>
      <c r="K226" s="17"/>
      <c r="L226" s="17"/>
      <c r="M226" s="16" t="str">
        <f>HYPERLINK("http://slimages.macys.com/is/image/MCY/16632936 ")</f>
        <v xml:space="preserve">http://slimages.macys.com/is/image/MCY/16632936 </v>
      </c>
      <c r="N226" s="30"/>
    </row>
    <row r="227" spans="1:14" ht="60" x14ac:dyDescent="0.25">
      <c r="A227" s="19" t="s">
        <v>5755</v>
      </c>
      <c r="B227" s="17" t="s">
        <v>5754</v>
      </c>
      <c r="C227" s="20">
        <v>1</v>
      </c>
      <c r="D227" s="18">
        <v>69</v>
      </c>
      <c r="E227" s="20" t="s">
        <v>1130</v>
      </c>
      <c r="F227" s="17" t="s">
        <v>390</v>
      </c>
      <c r="G227" s="19" t="s">
        <v>74</v>
      </c>
      <c r="H227" s="18">
        <v>12.993333333333334</v>
      </c>
      <c r="I227" s="17" t="s">
        <v>56</v>
      </c>
      <c r="J227" s="17" t="s">
        <v>55</v>
      </c>
      <c r="K227" s="17" t="s">
        <v>389</v>
      </c>
      <c r="L227" s="17" t="s">
        <v>1129</v>
      </c>
      <c r="M227" s="16" t="str">
        <f>HYPERLINK("http://slimages.macys.com/is/image/MCY/15870463 ")</f>
        <v xml:space="preserve">http://slimages.macys.com/is/image/MCY/15870463 </v>
      </c>
      <c r="N227" s="30"/>
    </row>
    <row r="228" spans="1:14" ht="60" x14ac:dyDescent="0.25">
      <c r="A228" s="19" t="s">
        <v>3585</v>
      </c>
      <c r="B228" s="17" t="s">
        <v>3584</v>
      </c>
      <c r="C228" s="20">
        <v>1</v>
      </c>
      <c r="D228" s="18">
        <v>69</v>
      </c>
      <c r="E228" s="20" t="s">
        <v>1130</v>
      </c>
      <c r="F228" s="17" t="s">
        <v>390</v>
      </c>
      <c r="G228" s="19" t="s">
        <v>57</v>
      </c>
      <c r="H228" s="18">
        <v>12.993333333333334</v>
      </c>
      <c r="I228" s="17" t="s">
        <v>56</v>
      </c>
      <c r="J228" s="17" t="s">
        <v>55</v>
      </c>
      <c r="K228" s="17" t="s">
        <v>389</v>
      </c>
      <c r="L228" s="17" t="s">
        <v>1129</v>
      </c>
      <c r="M228" s="16" t="str">
        <f>HYPERLINK("http://slimages.macys.com/is/image/MCY/15870463 ")</f>
        <v xml:space="preserve">http://slimages.macys.com/is/image/MCY/15870463 </v>
      </c>
      <c r="N228" s="30"/>
    </row>
    <row r="229" spans="1:14" ht="60" x14ac:dyDescent="0.25">
      <c r="A229" s="19" t="s">
        <v>5753</v>
      </c>
      <c r="B229" s="17" t="s">
        <v>5752</v>
      </c>
      <c r="C229" s="20">
        <v>1</v>
      </c>
      <c r="D229" s="18">
        <v>69.5</v>
      </c>
      <c r="E229" s="20">
        <v>30127242</v>
      </c>
      <c r="F229" s="17" t="s">
        <v>282</v>
      </c>
      <c r="G229" s="19"/>
      <c r="H229" s="18">
        <v>12.973333333333333</v>
      </c>
      <c r="I229" s="17" t="s">
        <v>80</v>
      </c>
      <c r="J229" s="17" t="s">
        <v>513</v>
      </c>
      <c r="K229" s="17"/>
      <c r="L229" s="17"/>
      <c r="M229" s="16" t="str">
        <f>HYPERLINK("http://slimages.macys.com/is/image/MCY/18531455 ")</f>
        <v xml:space="preserve">http://slimages.macys.com/is/image/MCY/18531455 </v>
      </c>
      <c r="N229" s="30"/>
    </row>
    <row r="230" spans="1:14" ht="60" x14ac:dyDescent="0.25">
      <c r="A230" s="19" t="s">
        <v>5751</v>
      </c>
      <c r="B230" s="17" t="s">
        <v>5750</v>
      </c>
      <c r="C230" s="20">
        <v>1</v>
      </c>
      <c r="D230" s="18">
        <v>69</v>
      </c>
      <c r="E230" s="20" t="s">
        <v>4394</v>
      </c>
      <c r="F230" s="17" t="s">
        <v>23</v>
      </c>
      <c r="G230" s="19" t="s">
        <v>43</v>
      </c>
      <c r="H230" s="18">
        <v>12.74</v>
      </c>
      <c r="I230" s="17" t="s">
        <v>405</v>
      </c>
      <c r="J230" s="17" t="s">
        <v>404</v>
      </c>
      <c r="K230" s="17"/>
      <c r="L230" s="17"/>
      <c r="M230" s="16" t="str">
        <f>HYPERLINK("http://slimages.macys.com/is/image/MCY/19217719 ")</f>
        <v xml:space="preserve">http://slimages.macys.com/is/image/MCY/19217719 </v>
      </c>
      <c r="N230" s="30"/>
    </row>
    <row r="231" spans="1:14" ht="60" x14ac:dyDescent="0.25">
      <c r="A231" s="19" t="s">
        <v>5749</v>
      </c>
      <c r="B231" s="17" t="s">
        <v>5748</v>
      </c>
      <c r="C231" s="20">
        <v>1</v>
      </c>
      <c r="D231" s="18">
        <v>69</v>
      </c>
      <c r="E231" s="20" t="s">
        <v>1906</v>
      </c>
      <c r="F231" s="17" t="s">
        <v>91</v>
      </c>
      <c r="G231" s="19" t="s">
        <v>57</v>
      </c>
      <c r="H231" s="18">
        <v>12.74</v>
      </c>
      <c r="I231" s="17" t="s">
        <v>405</v>
      </c>
      <c r="J231" s="17" t="s">
        <v>404</v>
      </c>
      <c r="K231" s="17"/>
      <c r="L231" s="17"/>
      <c r="M231" s="16" t="str">
        <f>HYPERLINK("http://slimages.macys.com/is/image/MCY/19850141 ")</f>
        <v xml:space="preserve">http://slimages.macys.com/is/image/MCY/19850141 </v>
      </c>
      <c r="N231" s="30"/>
    </row>
    <row r="232" spans="1:14" ht="60" x14ac:dyDescent="0.25">
      <c r="A232" s="19" t="s">
        <v>5747</v>
      </c>
      <c r="B232" s="17" t="s">
        <v>5746</v>
      </c>
      <c r="C232" s="20">
        <v>1</v>
      </c>
      <c r="D232" s="18">
        <v>69</v>
      </c>
      <c r="E232" s="20" t="s">
        <v>5745</v>
      </c>
      <c r="F232" s="17" t="s">
        <v>51</v>
      </c>
      <c r="G232" s="19" t="s">
        <v>43</v>
      </c>
      <c r="H232" s="18">
        <v>12.74</v>
      </c>
      <c r="I232" s="17" t="s">
        <v>405</v>
      </c>
      <c r="J232" s="17" t="s">
        <v>404</v>
      </c>
      <c r="K232" s="17"/>
      <c r="L232" s="17"/>
      <c r="M232" s="16" t="str">
        <f>HYPERLINK("http://slimages.macys.com/is/image/MCY/19406833 ")</f>
        <v xml:space="preserve">http://slimages.macys.com/is/image/MCY/19406833 </v>
      </c>
      <c r="N232" s="30"/>
    </row>
    <row r="233" spans="1:14" ht="60" x14ac:dyDescent="0.25">
      <c r="A233" s="19" t="s">
        <v>5744</v>
      </c>
      <c r="B233" s="17" t="s">
        <v>5743</v>
      </c>
      <c r="C233" s="20">
        <v>1</v>
      </c>
      <c r="D233" s="18">
        <v>69</v>
      </c>
      <c r="E233" s="20" t="s">
        <v>5742</v>
      </c>
      <c r="F233" s="17" t="s">
        <v>345</v>
      </c>
      <c r="G233" s="19" t="s">
        <v>57</v>
      </c>
      <c r="H233" s="18">
        <v>12.74</v>
      </c>
      <c r="I233" s="17" t="s">
        <v>405</v>
      </c>
      <c r="J233" s="17" t="s">
        <v>404</v>
      </c>
      <c r="K233" s="17"/>
      <c r="L233" s="17"/>
      <c r="M233" s="16" t="str">
        <f>HYPERLINK("http://slimages.macys.com/is/image/MCY/18649679 ")</f>
        <v xml:space="preserve">http://slimages.macys.com/is/image/MCY/18649679 </v>
      </c>
      <c r="N233" s="30"/>
    </row>
    <row r="234" spans="1:14" ht="60" x14ac:dyDescent="0.25">
      <c r="A234" s="19" t="s">
        <v>5741</v>
      </c>
      <c r="B234" s="17" t="s">
        <v>5740</v>
      </c>
      <c r="C234" s="20">
        <v>1</v>
      </c>
      <c r="D234" s="18">
        <v>69</v>
      </c>
      <c r="E234" s="20" t="s">
        <v>5739</v>
      </c>
      <c r="F234" s="17" t="s">
        <v>91</v>
      </c>
      <c r="G234" s="19" t="s">
        <v>74</v>
      </c>
      <c r="H234" s="18">
        <v>12.74</v>
      </c>
      <c r="I234" s="17" t="s">
        <v>405</v>
      </c>
      <c r="J234" s="17" t="s">
        <v>404</v>
      </c>
      <c r="K234" s="17"/>
      <c r="L234" s="17"/>
      <c r="M234" s="16" t="str">
        <f>HYPERLINK("http://slimages.macys.com/is/image/MCY/19790550 ")</f>
        <v xml:space="preserve">http://slimages.macys.com/is/image/MCY/19790550 </v>
      </c>
      <c r="N234" s="30"/>
    </row>
    <row r="235" spans="1:14" ht="60" x14ac:dyDescent="0.25">
      <c r="A235" s="19" t="s">
        <v>5738</v>
      </c>
      <c r="B235" s="17" t="s">
        <v>5737</v>
      </c>
      <c r="C235" s="20">
        <v>1</v>
      </c>
      <c r="D235" s="18">
        <v>69</v>
      </c>
      <c r="E235" s="20" t="s">
        <v>1816</v>
      </c>
      <c r="F235" s="17" t="s">
        <v>2575</v>
      </c>
      <c r="G235" s="19" t="s">
        <v>74</v>
      </c>
      <c r="H235" s="18">
        <v>12.74</v>
      </c>
      <c r="I235" s="17" t="s">
        <v>405</v>
      </c>
      <c r="J235" s="17" t="s">
        <v>404</v>
      </c>
      <c r="K235" s="17" t="s">
        <v>389</v>
      </c>
      <c r="L235" s="17" t="s">
        <v>1359</v>
      </c>
      <c r="M235" s="16" t="str">
        <f>HYPERLINK("http://slimages.macys.com/is/image/MCY/18636354 ")</f>
        <v xml:space="preserve">http://slimages.macys.com/is/image/MCY/18636354 </v>
      </c>
      <c r="N235" s="30"/>
    </row>
    <row r="236" spans="1:14" ht="60" x14ac:dyDescent="0.25">
      <c r="A236" s="19" t="s">
        <v>5736</v>
      </c>
      <c r="B236" s="17" t="s">
        <v>5735</v>
      </c>
      <c r="C236" s="20">
        <v>1</v>
      </c>
      <c r="D236" s="18">
        <v>48.3</v>
      </c>
      <c r="E236" s="20" t="s">
        <v>5734</v>
      </c>
      <c r="F236" s="17" t="s">
        <v>28</v>
      </c>
      <c r="G236" s="19" t="s">
        <v>74</v>
      </c>
      <c r="H236" s="18">
        <v>12.6</v>
      </c>
      <c r="I236" s="17" t="s">
        <v>42</v>
      </c>
      <c r="J236" s="17" t="s">
        <v>41</v>
      </c>
      <c r="K236" s="17"/>
      <c r="L236" s="17"/>
      <c r="M236" s="16" t="str">
        <f>HYPERLINK("http://slimages.macys.com/is/image/MCY/18504786 ")</f>
        <v xml:space="preserve">http://slimages.macys.com/is/image/MCY/18504786 </v>
      </c>
      <c r="N236" s="30"/>
    </row>
    <row r="237" spans="1:14" ht="60" x14ac:dyDescent="0.25">
      <c r="A237" s="19" t="s">
        <v>5733</v>
      </c>
      <c r="B237" s="17" t="s">
        <v>5732</v>
      </c>
      <c r="C237" s="20">
        <v>1</v>
      </c>
      <c r="D237" s="18">
        <v>48.3</v>
      </c>
      <c r="E237" s="20" t="s">
        <v>5731</v>
      </c>
      <c r="F237" s="17" t="s">
        <v>51</v>
      </c>
      <c r="G237" s="19" t="s">
        <v>74</v>
      </c>
      <c r="H237" s="18">
        <v>12.6</v>
      </c>
      <c r="I237" s="17" t="s">
        <v>42</v>
      </c>
      <c r="J237" s="17" t="s">
        <v>41</v>
      </c>
      <c r="K237" s="17"/>
      <c r="L237" s="17"/>
      <c r="M237" s="16" t="str">
        <f>HYPERLINK("http://slimages.macys.com/is/image/MCY/19186999 ")</f>
        <v xml:space="preserve">http://slimages.macys.com/is/image/MCY/19186999 </v>
      </c>
      <c r="N237" s="30"/>
    </row>
    <row r="238" spans="1:14" ht="60" x14ac:dyDescent="0.25">
      <c r="A238" s="19" t="s">
        <v>5730</v>
      </c>
      <c r="B238" s="17" t="s">
        <v>5729</v>
      </c>
      <c r="C238" s="20">
        <v>1</v>
      </c>
      <c r="D238" s="18">
        <v>48.3</v>
      </c>
      <c r="E238" s="20" t="s">
        <v>1895</v>
      </c>
      <c r="F238" s="17" t="s">
        <v>28</v>
      </c>
      <c r="G238" s="19" t="s">
        <v>62</v>
      </c>
      <c r="H238" s="18">
        <v>12.6</v>
      </c>
      <c r="I238" s="17" t="s">
        <v>42</v>
      </c>
      <c r="J238" s="17" t="s">
        <v>41</v>
      </c>
      <c r="K238" s="17"/>
      <c r="L238" s="17"/>
      <c r="M238" s="16" t="str">
        <f>HYPERLINK("http://slimages.macys.com/is/image/MCY/19187460 ")</f>
        <v xml:space="preserve">http://slimages.macys.com/is/image/MCY/19187460 </v>
      </c>
      <c r="N238" s="30"/>
    </row>
    <row r="239" spans="1:14" ht="60" x14ac:dyDescent="0.25">
      <c r="A239" s="19" t="s">
        <v>1112</v>
      </c>
      <c r="B239" s="17" t="s">
        <v>1111</v>
      </c>
      <c r="C239" s="20">
        <v>1</v>
      </c>
      <c r="D239" s="18">
        <v>50</v>
      </c>
      <c r="E239" s="20" t="s">
        <v>1110</v>
      </c>
      <c r="F239" s="17" t="s">
        <v>51</v>
      </c>
      <c r="G239" s="19" t="s">
        <v>22</v>
      </c>
      <c r="H239" s="18">
        <v>12.093333333333334</v>
      </c>
      <c r="I239" s="17" t="s">
        <v>16</v>
      </c>
      <c r="J239" s="17" t="s">
        <v>15</v>
      </c>
      <c r="K239" s="17"/>
      <c r="L239" s="17"/>
      <c r="M239" s="16" t="str">
        <f>HYPERLINK("http://slimages.macys.com/is/image/MCY/18951803 ")</f>
        <v xml:space="preserve">http://slimages.macys.com/is/image/MCY/18951803 </v>
      </c>
      <c r="N239" s="30"/>
    </row>
    <row r="240" spans="1:14" ht="60" x14ac:dyDescent="0.25">
      <c r="A240" s="19" t="s">
        <v>5728</v>
      </c>
      <c r="B240" s="17" t="s">
        <v>5727</v>
      </c>
      <c r="C240" s="20">
        <v>1</v>
      </c>
      <c r="D240" s="18">
        <v>50</v>
      </c>
      <c r="E240" s="20" t="s">
        <v>5726</v>
      </c>
      <c r="F240" s="17"/>
      <c r="G240" s="19" t="s">
        <v>17</v>
      </c>
      <c r="H240" s="18">
        <v>12.093333333333334</v>
      </c>
      <c r="I240" s="17" t="s">
        <v>16</v>
      </c>
      <c r="J240" s="17" t="s">
        <v>15</v>
      </c>
      <c r="K240" s="17"/>
      <c r="L240" s="17"/>
      <c r="M240" s="16" t="str">
        <f>HYPERLINK("http://slimages.macys.com/is/image/MCY/17959116 ")</f>
        <v xml:space="preserve">http://slimages.macys.com/is/image/MCY/17959116 </v>
      </c>
      <c r="N240" s="30"/>
    </row>
    <row r="241" spans="1:14" ht="60" x14ac:dyDescent="0.25">
      <c r="A241" s="19" t="s">
        <v>5725</v>
      </c>
      <c r="B241" s="17" t="s">
        <v>5724</v>
      </c>
      <c r="C241" s="20">
        <v>1</v>
      </c>
      <c r="D241" s="18">
        <v>50</v>
      </c>
      <c r="E241" s="20" t="s">
        <v>1110</v>
      </c>
      <c r="F241" s="17" t="s">
        <v>51</v>
      </c>
      <c r="G241" s="19" t="s">
        <v>22</v>
      </c>
      <c r="H241" s="18">
        <v>12.086666666666666</v>
      </c>
      <c r="I241" s="17" t="s">
        <v>16</v>
      </c>
      <c r="J241" s="17" t="s">
        <v>15</v>
      </c>
      <c r="K241" s="17"/>
      <c r="L241" s="17"/>
      <c r="M241" s="16" t="str">
        <f>HYPERLINK("http://slimages.macys.com/is/image/MCY/18951804 ")</f>
        <v xml:space="preserve">http://slimages.macys.com/is/image/MCY/18951804 </v>
      </c>
      <c r="N241" s="30"/>
    </row>
    <row r="242" spans="1:14" ht="60" x14ac:dyDescent="0.25">
      <c r="A242" s="19" t="s">
        <v>5723</v>
      </c>
      <c r="B242" s="17" t="s">
        <v>5722</v>
      </c>
      <c r="C242" s="20">
        <v>1</v>
      </c>
      <c r="D242" s="18">
        <v>69</v>
      </c>
      <c r="E242" s="20">
        <v>2321805</v>
      </c>
      <c r="F242" s="17" t="s">
        <v>70</v>
      </c>
      <c r="G242" s="19" t="s">
        <v>313</v>
      </c>
      <c r="H242" s="18">
        <v>12</v>
      </c>
      <c r="I242" s="17" t="s">
        <v>80</v>
      </c>
      <c r="J242" s="17" t="s">
        <v>293</v>
      </c>
      <c r="K242" s="17"/>
      <c r="L242" s="17"/>
      <c r="M242" s="16" t="str">
        <f>HYPERLINK("http://slimages.macys.com/is/image/MCY/18749723 ")</f>
        <v xml:space="preserve">http://slimages.macys.com/is/image/MCY/18749723 </v>
      </c>
      <c r="N242" s="30"/>
    </row>
    <row r="243" spans="1:14" ht="60" x14ac:dyDescent="0.25">
      <c r="A243" s="19" t="s">
        <v>5026</v>
      </c>
      <c r="B243" s="17" t="s">
        <v>5025</v>
      </c>
      <c r="C243" s="20">
        <v>7</v>
      </c>
      <c r="D243" s="18">
        <v>69</v>
      </c>
      <c r="E243" s="20">
        <v>2321805</v>
      </c>
      <c r="F243" s="17" t="s">
        <v>70</v>
      </c>
      <c r="G243" s="19" t="s">
        <v>17</v>
      </c>
      <c r="H243" s="18">
        <v>12</v>
      </c>
      <c r="I243" s="17" t="s">
        <v>80</v>
      </c>
      <c r="J243" s="17" t="s">
        <v>293</v>
      </c>
      <c r="K243" s="17"/>
      <c r="L243" s="17"/>
      <c r="M243" s="16" t="str">
        <f>HYPERLINK("http://slimages.macys.com/is/image/MCY/18749723 ")</f>
        <v xml:space="preserve">http://slimages.macys.com/is/image/MCY/18749723 </v>
      </c>
      <c r="N243" s="30"/>
    </row>
    <row r="244" spans="1:14" ht="132" x14ac:dyDescent="0.25">
      <c r="A244" s="19" t="s">
        <v>1098</v>
      </c>
      <c r="B244" s="17" t="s">
        <v>1097</v>
      </c>
      <c r="C244" s="20">
        <v>1</v>
      </c>
      <c r="D244" s="18">
        <v>69</v>
      </c>
      <c r="E244" s="20" t="s">
        <v>1091</v>
      </c>
      <c r="F244" s="17" t="s">
        <v>544</v>
      </c>
      <c r="G244" s="19" t="s">
        <v>139</v>
      </c>
      <c r="H244" s="18">
        <v>12</v>
      </c>
      <c r="I244" s="17" t="s">
        <v>550</v>
      </c>
      <c r="J244" s="17" t="s">
        <v>1090</v>
      </c>
      <c r="K244" s="17" t="s">
        <v>389</v>
      </c>
      <c r="L244" s="17" t="s">
        <v>1089</v>
      </c>
      <c r="M244" s="16" t="str">
        <f>HYPERLINK("http://slimages.macys.com/is/image/MCY/13839568 ")</f>
        <v xml:space="preserve">http://slimages.macys.com/is/image/MCY/13839568 </v>
      </c>
      <c r="N244" s="30"/>
    </row>
    <row r="245" spans="1:14" ht="60" x14ac:dyDescent="0.25">
      <c r="A245" s="19" t="s">
        <v>5721</v>
      </c>
      <c r="B245" s="17" t="s">
        <v>5720</v>
      </c>
      <c r="C245" s="20">
        <v>9</v>
      </c>
      <c r="D245" s="18">
        <v>69</v>
      </c>
      <c r="E245" s="20">
        <v>2321805</v>
      </c>
      <c r="F245" s="17" t="s">
        <v>70</v>
      </c>
      <c r="G245" s="19" t="s">
        <v>22</v>
      </c>
      <c r="H245" s="18">
        <v>12</v>
      </c>
      <c r="I245" s="17" t="s">
        <v>80</v>
      </c>
      <c r="J245" s="17" t="s">
        <v>293</v>
      </c>
      <c r="K245" s="17"/>
      <c r="L245" s="17"/>
      <c r="M245" s="16" t="str">
        <f>HYPERLINK("http://slimages.macys.com/is/image/MCY/18749723 ")</f>
        <v xml:space="preserve">http://slimages.macys.com/is/image/MCY/18749723 </v>
      </c>
      <c r="N245" s="30"/>
    </row>
    <row r="246" spans="1:14" ht="60" x14ac:dyDescent="0.25">
      <c r="A246" s="19" t="s">
        <v>5033</v>
      </c>
      <c r="B246" s="17" t="s">
        <v>5032</v>
      </c>
      <c r="C246" s="20">
        <v>3</v>
      </c>
      <c r="D246" s="18">
        <v>69</v>
      </c>
      <c r="E246" s="20">
        <v>2321805</v>
      </c>
      <c r="F246" s="17" t="s">
        <v>70</v>
      </c>
      <c r="G246" s="19" t="s">
        <v>101</v>
      </c>
      <c r="H246" s="18">
        <v>12</v>
      </c>
      <c r="I246" s="17" t="s">
        <v>80</v>
      </c>
      <c r="J246" s="17" t="s">
        <v>293</v>
      </c>
      <c r="K246" s="17"/>
      <c r="L246" s="17"/>
      <c r="M246" s="16" t="str">
        <f>HYPERLINK("http://slimages.macys.com/is/image/MCY/18749723 ")</f>
        <v xml:space="preserve">http://slimages.macys.com/is/image/MCY/18749723 </v>
      </c>
      <c r="N246" s="30"/>
    </row>
    <row r="247" spans="1:14" ht="60" x14ac:dyDescent="0.25">
      <c r="A247" s="19" t="s">
        <v>5719</v>
      </c>
      <c r="B247" s="17" t="s">
        <v>5718</v>
      </c>
      <c r="C247" s="20">
        <v>1</v>
      </c>
      <c r="D247" s="18">
        <v>79</v>
      </c>
      <c r="E247" s="20">
        <v>2331705</v>
      </c>
      <c r="F247" s="17" t="s">
        <v>23</v>
      </c>
      <c r="G247" s="19" t="s">
        <v>101</v>
      </c>
      <c r="H247" s="18">
        <v>12</v>
      </c>
      <c r="I247" s="17" t="s">
        <v>80</v>
      </c>
      <c r="J247" s="17" t="s">
        <v>293</v>
      </c>
      <c r="K247" s="17"/>
      <c r="L247" s="17"/>
      <c r="M247" s="16" t="str">
        <f>HYPERLINK("http://slimages.macys.com/is/image/MCY/19109671 ")</f>
        <v xml:space="preserve">http://slimages.macys.com/is/image/MCY/19109671 </v>
      </c>
      <c r="N247" s="30"/>
    </row>
    <row r="248" spans="1:14" ht="60" x14ac:dyDescent="0.25">
      <c r="A248" s="19" t="s">
        <v>5717</v>
      </c>
      <c r="B248" s="17" t="s">
        <v>5716</v>
      </c>
      <c r="C248" s="20">
        <v>1</v>
      </c>
      <c r="D248" s="18">
        <v>65</v>
      </c>
      <c r="E248" s="20" t="s">
        <v>5715</v>
      </c>
      <c r="F248" s="17"/>
      <c r="G248" s="19" t="s">
        <v>5714</v>
      </c>
      <c r="H248" s="18">
        <v>12</v>
      </c>
      <c r="I248" s="17" t="s">
        <v>80</v>
      </c>
      <c r="J248" s="17" t="s">
        <v>187</v>
      </c>
      <c r="K248" s="17"/>
      <c r="L248" s="17"/>
      <c r="M248" s="16" t="str">
        <f>HYPERLINK("http://slimages.macys.com/is/image/MCY/18535994 ")</f>
        <v xml:space="preserve">http://slimages.macys.com/is/image/MCY/18535994 </v>
      </c>
      <c r="N248" s="30"/>
    </row>
    <row r="249" spans="1:14" ht="60" x14ac:dyDescent="0.25">
      <c r="A249" s="19" t="s">
        <v>5713</v>
      </c>
      <c r="B249" s="17" t="s">
        <v>5712</v>
      </c>
      <c r="C249" s="20">
        <v>1</v>
      </c>
      <c r="D249" s="18">
        <v>79</v>
      </c>
      <c r="E249" s="20">
        <v>2331705</v>
      </c>
      <c r="F249" s="17" t="s">
        <v>28</v>
      </c>
      <c r="G249" s="19" t="s">
        <v>43</v>
      </c>
      <c r="H249" s="18">
        <v>12</v>
      </c>
      <c r="I249" s="17" t="s">
        <v>80</v>
      </c>
      <c r="J249" s="17" t="s">
        <v>293</v>
      </c>
      <c r="K249" s="17"/>
      <c r="L249" s="17"/>
      <c r="M249" s="16" t="str">
        <f>HYPERLINK("http://slimages.macys.com/is/image/MCY/19109671 ")</f>
        <v xml:space="preserve">http://slimages.macys.com/is/image/MCY/19109671 </v>
      </c>
      <c r="N249" s="30"/>
    </row>
    <row r="250" spans="1:14" ht="60" x14ac:dyDescent="0.25">
      <c r="A250" s="19" t="s">
        <v>4377</v>
      </c>
      <c r="B250" s="17" t="s">
        <v>4376</v>
      </c>
      <c r="C250" s="20">
        <v>3</v>
      </c>
      <c r="D250" s="18">
        <v>69</v>
      </c>
      <c r="E250" s="20">
        <v>2321805</v>
      </c>
      <c r="F250" s="17" t="s">
        <v>70</v>
      </c>
      <c r="G250" s="19" t="s">
        <v>62</v>
      </c>
      <c r="H250" s="18">
        <v>12</v>
      </c>
      <c r="I250" s="17" t="s">
        <v>80</v>
      </c>
      <c r="J250" s="17" t="s">
        <v>293</v>
      </c>
      <c r="K250" s="17"/>
      <c r="L250" s="17"/>
      <c r="M250" s="16" t="str">
        <f>HYPERLINK("http://slimages.macys.com/is/image/MCY/18749723 ")</f>
        <v xml:space="preserve">http://slimages.macys.com/is/image/MCY/18749723 </v>
      </c>
      <c r="N250" s="30"/>
    </row>
    <row r="251" spans="1:14" ht="60" x14ac:dyDescent="0.25">
      <c r="A251" s="19" t="s">
        <v>5711</v>
      </c>
      <c r="B251" s="17" t="s">
        <v>5710</v>
      </c>
      <c r="C251" s="20">
        <v>1</v>
      </c>
      <c r="D251" s="18">
        <v>59.5</v>
      </c>
      <c r="E251" s="20" t="s">
        <v>5709</v>
      </c>
      <c r="F251" s="17" t="s">
        <v>51</v>
      </c>
      <c r="G251" s="19" t="s">
        <v>62</v>
      </c>
      <c r="H251" s="18">
        <v>11.986666666666668</v>
      </c>
      <c r="I251" s="17" t="s">
        <v>106</v>
      </c>
      <c r="J251" s="17" t="s">
        <v>105</v>
      </c>
      <c r="K251" s="17"/>
      <c r="L251" s="17"/>
      <c r="M251" s="16" t="str">
        <f>HYPERLINK("http://slimages.macys.com/is/image/MCY/17514545 ")</f>
        <v xml:space="preserve">http://slimages.macys.com/is/image/MCY/17514545 </v>
      </c>
      <c r="N251" s="30"/>
    </row>
    <row r="252" spans="1:14" ht="60" x14ac:dyDescent="0.25">
      <c r="A252" s="19" t="s">
        <v>5708</v>
      </c>
      <c r="B252" s="17" t="s">
        <v>5707</v>
      </c>
      <c r="C252" s="20">
        <v>1</v>
      </c>
      <c r="D252" s="18">
        <v>69.5</v>
      </c>
      <c r="E252" s="20" t="s">
        <v>5706</v>
      </c>
      <c r="F252" s="17" t="s">
        <v>1536</v>
      </c>
      <c r="G252" s="19" t="s">
        <v>62</v>
      </c>
      <c r="H252" s="18">
        <v>11.826666666666668</v>
      </c>
      <c r="I252" s="17" t="s">
        <v>68</v>
      </c>
      <c r="J252" s="17" t="s">
        <v>67</v>
      </c>
      <c r="K252" s="17"/>
      <c r="L252" s="17"/>
      <c r="M252" s="16" t="str">
        <f>HYPERLINK("http://slimages.macys.com/is/image/MCY/16791761 ")</f>
        <v xml:space="preserve">http://slimages.macys.com/is/image/MCY/16791761 </v>
      </c>
      <c r="N252" s="30"/>
    </row>
    <row r="253" spans="1:14" ht="60" x14ac:dyDescent="0.25">
      <c r="A253" s="19" t="s">
        <v>5705</v>
      </c>
      <c r="B253" s="17" t="s">
        <v>5704</v>
      </c>
      <c r="C253" s="20">
        <v>1</v>
      </c>
      <c r="D253" s="18">
        <v>59</v>
      </c>
      <c r="E253" s="20">
        <v>10799158</v>
      </c>
      <c r="F253" s="17" t="s">
        <v>140</v>
      </c>
      <c r="G253" s="19" t="s">
        <v>271</v>
      </c>
      <c r="H253" s="18">
        <v>11.8</v>
      </c>
      <c r="I253" s="17" t="s">
        <v>358</v>
      </c>
      <c r="J253" s="17" t="s">
        <v>554</v>
      </c>
      <c r="K253" s="17"/>
      <c r="L253" s="17"/>
      <c r="M253" s="16" t="str">
        <f>HYPERLINK("http://slimages.macys.com/is/image/MCY/18520659 ")</f>
        <v xml:space="preserve">http://slimages.macys.com/is/image/MCY/18520659 </v>
      </c>
      <c r="N253" s="30"/>
    </row>
    <row r="254" spans="1:14" ht="60" x14ac:dyDescent="0.25">
      <c r="A254" s="19" t="s">
        <v>2678</v>
      </c>
      <c r="B254" s="17" t="s">
        <v>2677</v>
      </c>
      <c r="C254" s="20">
        <v>1</v>
      </c>
      <c r="D254" s="18">
        <v>59</v>
      </c>
      <c r="E254" s="20" t="s">
        <v>2676</v>
      </c>
      <c r="F254" s="17" t="s">
        <v>91</v>
      </c>
      <c r="G254" s="19" t="s">
        <v>27</v>
      </c>
      <c r="H254" s="18">
        <v>11.8</v>
      </c>
      <c r="I254" s="17" t="s">
        <v>678</v>
      </c>
      <c r="J254" s="17" t="s">
        <v>404</v>
      </c>
      <c r="K254" s="17"/>
      <c r="L254" s="17"/>
      <c r="M254" s="16" t="str">
        <f>HYPERLINK("http://slimages.macys.com/is/image/MCY/19831340 ")</f>
        <v xml:space="preserve">http://slimages.macys.com/is/image/MCY/19831340 </v>
      </c>
      <c r="N254" s="30"/>
    </row>
    <row r="255" spans="1:14" ht="60" x14ac:dyDescent="0.25">
      <c r="A255" s="19" t="s">
        <v>3537</v>
      </c>
      <c r="B255" s="17" t="s">
        <v>3536</v>
      </c>
      <c r="C255" s="20">
        <v>1</v>
      </c>
      <c r="D255" s="18">
        <v>45</v>
      </c>
      <c r="E255" s="20" t="s">
        <v>3535</v>
      </c>
      <c r="F255" s="17" t="s">
        <v>51</v>
      </c>
      <c r="G255" s="19" t="s">
        <v>22</v>
      </c>
      <c r="H255" s="18">
        <v>11.52</v>
      </c>
      <c r="I255" s="17" t="s">
        <v>16</v>
      </c>
      <c r="J255" s="17" t="s">
        <v>15</v>
      </c>
      <c r="K255" s="17"/>
      <c r="L255" s="17"/>
      <c r="M255" s="16" t="str">
        <f>HYPERLINK("http://slimages.macys.com/is/image/MCY/19043645 ")</f>
        <v xml:space="preserve">http://slimages.macys.com/is/image/MCY/19043645 </v>
      </c>
      <c r="N255" s="30"/>
    </row>
    <row r="256" spans="1:14" ht="60" x14ac:dyDescent="0.25">
      <c r="A256" s="19" t="s">
        <v>4363</v>
      </c>
      <c r="B256" s="17" t="s">
        <v>4362</v>
      </c>
      <c r="C256" s="20">
        <v>1</v>
      </c>
      <c r="D256" s="18">
        <v>45</v>
      </c>
      <c r="E256" s="20" t="s">
        <v>3535</v>
      </c>
      <c r="F256" s="17" t="s">
        <v>51</v>
      </c>
      <c r="G256" s="19" t="s">
        <v>17</v>
      </c>
      <c r="H256" s="18">
        <v>11.52</v>
      </c>
      <c r="I256" s="17" t="s">
        <v>16</v>
      </c>
      <c r="J256" s="17" t="s">
        <v>15</v>
      </c>
      <c r="K256" s="17"/>
      <c r="L256" s="17"/>
      <c r="M256" s="16" t="str">
        <f>HYPERLINK("http://slimages.macys.com/is/image/MCY/19043645 ")</f>
        <v xml:space="preserve">http://slimages.macys.com/is/image/MCY/19043645 </v>
      </c>
      <c r="N256" s="30"/>
    </row>
    <row r="257" spans="1:14" ht="60" x14ac:dyDescent="0.25">
      <c r="A257" s="19" t="s">
        <v>5703</v>
      </c>
      <c r="B257" s="17" t="s">
        <v>5702</v>
      </c>
      <c r="C257" s="20">
        <v>10</v>
      </c>
      <c r="D257" s="18">
        <v>69</v>
      </c>
      <c r="E257" s="20">
        <v>7039013</v>
      </c>
      <c r="F257" s="17" t="s">
        <v>508</v>
      </c>
      <c r="G257" s="19" t="s">
        <v>101</v>
      </c>
      <c r="H257" s="18">
        <v>11.500000000000002</v>
      </c>
      <c r="I257" s="17" t="s">
        <v>111</v>
      </c>
      <c r="J257" s="17" t="s">
        <v>110</v>
      </c>
      <c r="K257" s="17" t="s">
        <v>389</v>
      </c>
      <c r="L257" s="17" t="s">
        <v>388</v>
      </c>
      <c r="M257" s="16" t="str">
        <f>HYPERLINK("http://slimages.macys.com/is/image/MCY/12734453 ")</f>
        <v xml:space="preserve">http://slimages.macys.com/is/image/MCY/12734453 </v>
      </c>
      <c r="N257" s="30"/>
    </row>
    <row r="258" spans="1:14" ht="60" x14ac:dyDescent="0.25">
      <c r="A258" s="19" t="s">
        <v>5701</v>
      </c>
      <c r="B258" s="17" t="s">
        <v>5700</v>
      </c>
      <c r="C258" s="20">
        <v>1</v>
      </c>
      <c r="D258" s="18">
        <v>69</v>
      </c>
      <c r="E258" s="20">
        <v>10808156</v>
      </c>
      <c r="F258" s="17" t="s">
        <v>237</v>
      </c>
      <c r="G258" s="19" t="s">
        <v>197</v>
      </c>
      <c r="H258" s="18">
        <v>11.500000000000002</v>
      </c>
      <c r="I258" s="17" t="s">
        <v>120</v>
      </c>
      <c r="J258" s="17" t="s">
        <v>119</v>
      </c>
      <c r="K258" s="17"/>
      <c r="L258" s="17"/>
      <c r="M258" s="16" t="str">
        <f>HYPERLINK("http://slimages.macys.com/is/image/MCY/19425423 ")</f>
        <v xml:space="preserve">http://slimages.macys.com/is/image/MCY/19425423 </v>
      </c>
      <c r="N258" s="30"/>
    </row>
    <row r="259" spans="1:14" ht="60" x14ac:dyDescent="0.25">
      <c r="A259" s="19" t="s">
        <v>4358</v>
      </c>
      <c r="B259" s="17" t="s">
        <v>4357</v>
      </c>
      <c r="C259" s="20">
        <v>1</v>
      </c>
      <c r="D259" s="18">
        <v>69</v>
      </c>
      <c r="E259" s="20">
        <v>8151602</v>
      </c>
      <c r="F259" s="17" t="s">
        <v>508</v>
      </c>
      <c r="G259" s="19" t="s">
        <v>62</v>
      </c>
      <c r="H259" s="18">
        <v>11.500000000000002</v>
      </c>
      <c r="I259" s="17" t="s">
        <v>129</v>
      </c>
      <c r="J259" s="17" t="s">
        <v>128</v>
      </c>
      <c r="K259" s="17"/>
      <c r="L259" s="17"/>
      <c r="M259" s="16" t="str">
        <f>HYPERLINK("http://slimages.macys.com/is/image/MCY/19706219 ")</f>
        <v xml:space="preserve">http://slimages.macys.com/is/image/MCY/19706219 </v>
      </c>
      <c r="N259" s="30"/>
    </row>
    <row r="260" spans="1:14" ht="60" x14ac:dyDescent="0.25">
      <c r="A260" s="19" t="s">
        <v>3527</v>
      </c>
      <c r="B260" s="17" t="s">
        <v>3526</v>
      </c>
      <c r="C260" s="20">
        <v>1</v>
      </c>
      <c r="D260" s="18">
        <v>40</v>
      </c>
      <c r="E260" s="20" t="s">
        <v>3525</v>
      </c>
      <c r="F260" s="17" t="s">
        <v>1536</v>
      </c>
      <c r="G260" s="19" t="s">
        <v>22</v>
      </c>
      <c r="H260" s="18">
        <v>11.4</v>
      </c>
      <c r="I260" s="17" t="s">
        <v>16</v>
      </c>
      <c r="J260" s="17" t="s">
        <v>15</v>
      </c>
      <c r="K260" s="17"/>
      <c r="L260" s="17"/>
      <c r="M260" s="16" t="str">
        <f>HYPERLINK("http://slimages.macys.com/is/image/MCY/17842430 ")</f>
        <v xml:space="preserve">http://slimages.macys.com/is/image/MCY/17842430 </v>
      </c>
      <c r="N260" s="30"/>
    </row>
    <row r="261" spans="1:14" ht="60" x14ac:dyDescent="0.25">
      <c r="A261" s="19" t="s">
        <v>5699</v>
      </c>
      <c r="B261" s="17" t="s">
        <v>5698</v>
      </c>
      <c r="C261" s="20">
        <v>1</v>
      </c>
      <c r="D261" s="18">
        <v>59.5</v>
      </c>
      <c r="E261" s="20" t="s">
        <v>374</v>
      </c>
      <c r="F261" s="17" t="s">
        <v>91</v>
      </c>
      <c r="G261" s="19" t="s">
        <v>69</v>
      </c>
      <c r="H261" s="18">
        <v>11.206666666666667</v>
      </c>
      <c r="I261" s="17" t="s">
        <v>56</v>
      </c>
      <c r="J261" s="17" t="s">
        <v>55</v>
      </c>
      <c r="K261" s="17"/>
      <c r="L261" s="17"/>
      <c r="M261" s="16" t="str">
        <f>HYPERLINK("http://slimages.macys.com/is/image/MCY/19367312 ")</f>
        <v xml:space="preserve">http://slimages.macys.com/is/image/MCY/19367312 </v>
      </c>
      <c r="N261" s="30"/>
    </row>
    <row r="262" spans="1:14" ht="60" x14ac:dyDescent="0.25">
      <c r="A262" s="19" t="s">
        <v>2658</v>
      </c>
      <c r="B262" s="17" t="s">
        <v>2657</v>
      </c>
      <c r="C262" s="20">
        <v>1</v>
      </c>
      <c r="D262" s="18">
        <v>59.5</v>
      </c>
      <c r="E262" s="20" t="s">
        <v>374</v>
      </c>
      <c r="F262" s="17" t="s">
        <v>206</v>
      </c>
      <c r="G262" s="19" t="s">
        <v>197</v>
      </c>
      <c r="H262" s="18">
        <v>11.206666666666667</v>
      </c>
      <c r="I262" s="17" t="s">
        <v>56</v>
      </c>
      <c r="J262" s="17" t="s">
        <v>55</v>
      </c>
      <c r="K262" s="17"/>
      <c r="L262" s="17"/>
      <c r="M262" s="16" t="str">
        <f>HYPERLINK("http://slimages.macys.com/is/image/MCY/19367312 ")</f>
        <v xml:space="preserve">http://slimages.macys.com/is/image/MCY/19367312 </v>
      </c>
      <c r="N262" s="30"/>
    </row>
    <row r="263" spans="1:14" ht="60" x14ac:dyDescent="0.25">
      <c r="A263" s="19" t="s">
        <v>2649</v>
      </c>
      <c r="B263" s="17" t="s">
        <v>2648</v>
      </c>
      <c r="C263" s="20">
        <v>1</v>
      </c>
      <c r="D263" s="18">
        <v>59.5</v>
      </c>
      <c r="E263" s="20" t="s">
        <v>374</v>
      </c>
      <c r="F263" s="17" t="s">
        <v>91</v>
      </c>
      <c r="G263" s="19" t="s">
        <v>74</v>
      </c>
      <c r="H263" s="18">
        <v>11.206666666666667</v>
      </c>
      <c r="I263" s="17" t="s">
        <v>56</v>
      </c>
      <c r="J263" s="17" t="s">
        <v>55</v>
      </c>
      <c r="K263" s="17"/>
      <c r="L263" s="17"/>
      <c r="M263" s="16" t="str">
        <f>HYPERLINK("http://slimages.macys.com/is/image/MCY/19367312 ")</f>
        <v xml:space="preserve">http://slimages.macys.com/is/image/MCY/19367312 </v>
      </c>
      <c r="N263" s="30"/>
    </row>
    <row r="264" spans="1:14" ht="60" x14ac:dyDescent="0.25">
      <c r="A264" s="19" t="s">
        <v>376</v>
      </c>
      <c r="B264" s="17" t="s">
        <v>375</v>
      </c>
      <c r="C264" s="20">
        <v>1</v>
      </c>
      <c r="D264" s="18">
        <v>59.5</v>
      </c>
      <c r="E264" s="20" t="s">
        <v>374</v>
      </c>
      <c r="F264" s="17" t="s">
        <v>91</v>
      </c>
      <c r="G264" s="19" t="s">
        <v>197</v>
      </c>
      <c r="H264" s="18">
        <v>11.206666666666667</v>
      </c>
      <c r="I264" s="17" t="s">
        <v>56</v>
      </c>
      <c r="J264" s="17" t="s">
        <v>55</v>
      </c>
      <c r="K264" s="17"/>
      <c r="L264" s="17"/>
      <c r="M264" s="16" t="str">
        <f>HYPERLINK("http://slimages.macys.com/is/image/MCY/19367312 ")</f>
        <v xml:space="preserve">http://slimages.macys.com/is/image/MCY/19367312 </v>
      </c>
      <c r="N264" s="30"/>
    </row>
    <row r="265" spans="1:14" ht="60" x14ac:dyDescent="0.25">
      <c r="A265" s="19" t="s">
        <v>5697</v>
      </c>
      <c r="B265" s="17" t="s">
        <v>5696</v>
      </c>
      <c r="C265" s="20">
        <v>1</v>
      </c>
      <c r="D265" s="18">
        <v>59.5</v>
      </c>
      <c r="E265" s="20" t="s">
        <v>2654</v>
      </c>
      <c r="F265" s="17" t="s">
        <v>206</v>
      </c>
      <c r="G265" s="19" t="s">
        <v>69</v>
      </c>
      <c r="H265" s="18">
        <v>11.206666666666667</v>
      </c>
      <c r="I265" s="17" t="s">
        <v>56</v>
      </c>
      <c r="J265" s="17" t="s">
        <v>55</v>
      </c>
      <c r="K265" s="17"/>
      <c r="L265" s="17"/>
      <c r="M265" s="16" t="str">
        <f>HYPERLINK("http://slimages.macys.com/is/image/MCY/19365383 ")</f>
        <v xml:space="preserve">http://slimages.macys.com/is/image/MCY/19365383 </v>
      </c>
      <c r="N265" s="30"/>
    </row>
    <row r="266" spans="1:14" ht="60" x14ac:dyDescent="0.25">
      <c r="A266" s="19" t="s">
        <v>5695</v>
      </c>
      <c r="B266" s="17" t="s">
        <v>5694</v>
      </c>
      <c r="C266" s="20">
        <v>1</v>
      </c>
      <c r="D266" s="18">
        <v>59.5</v>
      </c>
      <c r="E266" s="20" t="s">
        <v>5693</v>
      </c>
      <c r="F266" s="17" t="s">
        <v>91</v>
      </c>
      <c r="G266" s="19" t="s">
        <v>74</v>
      </c>
      <c r="H266" s="18">
        <v>11.206666666666667</v>
      </c>
      <c r="I266" s="17" t="s">
        <v>56</v>
      </c>
      <c r="J266" s="17" t="s">
        <v>55</v>
      </c>
      <c r="K266" s="17"/>
      <c r="L266" s="17"/>
      <c r="M266" s="16" t="str">
        <f>HYPERLINK("http://slimages.macys.com/is/image/MCY/19228705 ")</f>
        <v xml:space="preserve">http://slimages.macys.com/is/image/MCY/19228705 </v>
      </c>
      <c r="N266" s="30"/>
    </row>
    <row r="267" spans="1:14" ht="60" x14ac:dyDescent="0.25">
      <c r="A267" s="19" t="s">
        <v>5692</v>
      </c>
      <c r="B267" s="17" t="s">
        <v>5691</v>
      </c>
      <c r="C267" s="20">
        <v>1</v>
      </c>
      <c r="D267" s="18">
        <v>59.5</v>
      </c>
      <c r="E267" s="20" t="s">
        <v>1080</v>
      </c>
      <c r="F267" s="17" t="s">
        <v>206</v>
      </c>
      <c r="G267" s="19" t="s">
        <v>62</v>
      </c>
      <c r="H267" s="18">
        <v>11.206666666666667</v>
      </c>
      <c r="I267" s="17" t="s">
        <v>56</v>
      </c>
      <c r="J267" s="17" t="s">
        <v>55</v>
      </c>
      <c r="K267" s="17"/>
      <c r="L267" s="17"/>
      <c r="M267" s="16" t="str">
        <f>HYPERLINK("http://slimages.macys.com/is/image/MCY/19394905 ")</f>
        <v xml:space="preserve">http://slimages.macys.com/is/image/MCY/19394905 </v>
      </c>
      <c r="N267" s="30"/>
    </row>
    <row r="268" spans="1:14" ht="60" x14ac:dyDescent="0.25">
      <c r="A268" s="19" t="s">
        <v>1859</v>
      </c>
      <c r="B268" s="17" t="s">
        <v>1858</v>
      </c>
      <c r="C268" s="20">
        <v>2</v>
      </c>
      <c r="D268" s="18">
        <v>59.5</v>
      </c>
      <c r="E268" s="20" t="s">
        <v>374</v>
      </c>
      <c r="F268" s="17" t="s">
        <v>91</v>
      </c>
      <c r="G268" s="19" t="s">
        <v>57</v>
      </c>
      <c r="H268" s="18">
        <v>11.206666666666667</v>
      </c>
      <c r="I268" s="17" t="s">
        <v>56</v>
      </c>
      <c r="J268" s="17" t="s">
        <v>55</v>
      </c>
      <c r="K268" s="17"/>
      <c r="L268" s="17"/>
      <c r="M268" s="16" t="str">
        <f>HYPERLINK("http://slimages.macys.com/is/image/MCY/19367312 ")</f>
        <v xml:space="preserve">http://slimages.macys.com/is/image/MCY/19367312 </v>
      </c>
      <c r="N268" s="30"/>
    </row>
    <row r="269" spans="1:14" ht="60" x14ac:dyDescent="0.25">
      <c r="A269" s="19" t="s">
        <v>5690</v>
      </c>
      <c r="B269" s="17" t="s">
        <v>5689</v>
      </c>
      <c r="C269" s="20">
        <v>1</v>
      </c>
      <c r="D269" s="18">
        <v>59.5</v>
      </c>
      <c r="E269" s="20" t="s">
        <v>5688</v>
      </c>
      <c r="F269" s="17" t="s">
        <v>206</v>
      </c>
      <c r="G269" s="19" t="s">
        <v>773</v>
      </c>
      <c r="H269" s="18">
        <v>11.206666666666667</v>
      </c>
      <c r="I269" s="17" t="s">
        <v>68</v>
      </c>
      <c r="J269" s="17" t="s">
        <v>67</v>
      </c>
      <c r="K269" s="17" t="s">
        <v>389</v>
      </c>
      <c r="L269" s="17" t="s">
        <v>1044</v>
      </c>
      <c r="M269" s="16" t="str">
        <f>HYPERLINK("http://slimages.macys.com/is/image/MCY/16537773 ")</f>
        <v xml:space="preserve">http://slimages.macys.com/is/image/MCY/16537773 </v>
      </c>
      <c r="N269" s="30"/>
    </row>
    <row r="270" spans="1:14" ht="60" x14ac:dyDescent="0.25">
      <c r="A270" s="19" t="s">
        <v>5687</v>
      </c>
      <c r="B270" s="17" t="s">
        <v>5686</v>
      </c>
      <c r="C270" s="20">
        <v>1</v>
      </c>
      <c r="D270" s="18">
        <v>59.5</v>
      </c>
      <c r="E270" s="20" t="s">
        <v>4341</v>
      </c>
      <c r="F270" s="17" t="s">
        <v>28</v>
      </c>
      <c r="G270" s="19"/>
      <c r="H270" s="18">
        <v>11.206666666666667</v>
      </c>
      <c r="I270" s="17" t="s">
        <v>1891</v>
      </c>
      <c r="J270" s="17" t="s">
        <v>2435</v>
      </c>
      <c r="K270" s="17"/>
      <c r="L270" s="17"/>
      <c r="M270" s="16" t="str">
        <f>HYPERLINK("http://slimages.macys.com/is/image/MCY/19507940 ")</f>
        <v xml:space="preserve">http://slimages.macys.com/is/image/MCY/19507940 </v>
      </c>
      <c r="N270" s="30"/>
    </row>
    <row r="271" spans="1:14" ht="60" x14ac:dyDescent="0.25">
      <c r="A271" s="19" t="s">
        <v>1088</v>
      </c>
      <c r="B271" s="17" t="s">
        <v>1087</v>
      </c>
      <c r="C271" s="20">
        <v>2</v>
      </c>
      <c r="D271" s="18">
        <v>59.5</v>
      </c>
      <c r="E271" s="20" t="s">
        <v>1086</v>
      </c>
      <c r="F271" s="17" t="s">
        <v>51</v>
      </c>
      <c r="G271" s="19" t="s">
        <v>57</v>
      </c>
      <c r="H271" s="18">
        <v>11.206666666666667</v>
      </c>
      <c r="I271" s="17" t="s">
        <v>56</v>
      </c>
      <c r="J271" s="17" t="s">
        <v>55</v>
      </c>
      <c r="K271" s="17"/>
      <c r="L271" s="17"/>
      <c r="M271" s="16" t="str">
        <f>HYPERLINK("http://slimages.macys.com/is/image/MCY/19182892 ")</f>
        <v xml:space="preserve">http://slimages.macys.com/is/image/MCY/19182892 </v>
      </c>
      <c r="N271" s="30"/>
    </row>
    <row r="272" spans="1:14" ht="60" x14ac:dyDescent="0.25">
      <c r="A272" s="19" t="s">
        <v>5685</v>
      </c>
      <c r="B272" s="17" t="s">
        <v>5684</v>
      </c>
      <c r="C272" s="20">
        <v>1</v>
      </c>
      <c r="D272" s="18">
        <v>59.5</v>
      </c>
      <c r="E272" s="20" t="s">
        <v>1086</v>
      </c>
      <c r="F272" s="17" t="s">
        <v>51</v>
      </c>
      <c r="G272" s="19" t="s">
        <v>62</v>
      </c>
      <c r="H272" s="18">
        <v>11.206666666666667</v>
      </c>
      <c r="I272" s="17" t="s">
        <v>56</v>
      </c>
      <c r="J272" s="17" t="s">
        <v>55</v>
      </c>
      <c r="K272" s="17"/>
      <c r="L272" s="17"/>
      <c r="M272" s="16" t="str">
        <f>HYPERLINK("http://slimages.macys.com/is/image/MCY/19182892 ")</f>
        <v xml:space="preserve">http://slimages.macys.com/is/image/MCY/19182892 </v>
      </c>
      <c r="N272" s="30"/>
    </row>
    <row r="273" spans="1:14" ht="60" x14ac:dyDescent="0.25">
      <c r="A273" s="19" t="s">
        <v>4999</v>
      </c>
      <c r="B273" s="17" t="s">
        <v>4998</v>
      </c>
      <c r="C273" s="20">
        <v>1</v>
      </c>
      <c r="D273" s="18">
        <v>59.5</v>
      </c>
      <c r="E273" s="20" t="s">
        <v>1080</v>
      </c>
      <c r="F273" s="17" t="s">
        <v>206</v>
      </c>
      <c r="G273" s="19" t="s">
        <v>74</v>
      </c>
      <c r="H273" s="18">
        <v>11.206666666666667</v>
      </c>
      <c r="I273" s="17" t="s">
        <v>56</v>
      </c>
      <c r="J273" s="17" t="s">
        <v>55</v>
      </c>
      <c r="K273" s="17"/>
      <c r="L273" s="17"/>
      <c r="M273" s="16" t="str">
        <f>HYPERLINK("http://slimages.macys.com/is/image/MCY/19394905 ")</f>
        <v xml:space="preserve">http://slimages.macys.com/is/image/MCY/19394905 </v>
      </c>
      <c r="N273" s="30"/>
    </row>
    <row r="274" spans="1:14" ht="60" x14ac:dyDescent="0.25">
      <c r="A274" s="19" t="s">
        <v>5683</v>
      </c>
      <c r="B274" s="17" t="s">
        <v>5682</v>
      </c>
      <c r="C274" s="20">
        <v>1</v>
      </c>
      <c r="D274" s="18">
        <v>59.5</v>
      </c>
      <c r="E274" s="20" t="s">
        <v>3510</v>
      </c>
      <c r="F274" s="17" t="s">
        <v>23</v>
      </c>
      <c r="G274" s="19" t="s">
        <v>271</v>
      </c>
      <c r="H274" s="18">
        <v>11.206666666666667</v>
      </c>
      <c r="I274" s="17" t="s">
        <v>1891</v>
      </c>
      <c r="J274" s="17" t="s">
        <v>67</v>
      </c>
      <c r="K274" s="17"/>
      <c r="L274" s="17"/>
      <c r="M274" s="16" t="str">
        <f>HYPERLINK("http://slimages.macys.com/is/image/MCY/18981715 ")</f>
        <v xml:space="preserve">http://slimages.macys.com/is/image/MCY/18981715 </v>
      </c>
      <c r="N274" s="30"/>
    </row>
    <row r="275" spans="1:14" ht="60" x14ac:dyDescent="0.25">
      <c r="A275" s="19" t="s">
        <v>2651</v>
      </c>
      <c r="B275" s="17" t="s">
        <v>2650</v>
      </c>
      <c r="C275" s="20">
        <v>2</v>
      </c>
      <c r="D275" s="18">
        <v>59.5</v>
      </c>
      <c r="E275" s="20" t="s">
        <v>1086</v>
      </c>
      <c r="F275" s="17" t="s">
        <v>51</v>
      </c>
      <c r="G275" s="19" t="s">
        <v>69</v>
      </c>
      <c r="H275" s="18">
        <v>11.206666666666667</v>
      </c>
      <c r="I275" s="17" t="s">
        <v>56</v>
      </c>
      <c r="J275" s="17" t="s">
        <v>55</v>
      </c>
      <c r="K275" s="17"/>
      <c r="L275" s="17"/>
      <c r="M275" s="16" t="str">
        <f>HYPERLINK("http://slimages.macys.com/is/image/MCY/19182892 ")</f>
        <v xml:space="preserve">http://slimages.macys.com/is/image/MCY/19182892 </v>
      </c>
      <c r="N275" s="30"/>
    </row>
    <row r="276" spans="1:14" ht="60" x14ac:dyDescent="0.25">
      <c r="A276" s="19" t="s">
        <v>5681</v>
      </c>
      <c r="B276" s="17" t="s">
        <v>5680</v>
      </c>
      <c r="C276" s="20">
        <v>1</v>
      </c>
      <c r="D276" s="18">
        <v>59.5</v>
      </c>
      <c r="E276" s="20" t="s">
        <v>368</v>
      </c>
      <c r="F276" s="17" t="s">
        <v>206</v>
      </c>
      <c r="G276" s="19" t="s">
        <v>74</v>
      </c>
      <c r="H276" s="18">
        <v>11.206666666666667</v>
      </c>
      <c r="I276" s="17" t="s">
        <v>56</v>
      </c>
      <c r="J276" s="17" t="s">
        <v>55</v>
      </c>
      <c r="K276" s="17"/>
      <c r="L276" s="17"/>
      <c r="M276" s="16" t="str">
        <f>HYPERLINK("http://slimages.macys.com/is/image/MCY/19019250 ")</f>
        <v xml:space="preserve">http://slimages.macys.com/is/image/MCY/19019250 </v>
      </c>
      <c r="N276" s="30"/>
    </row>
    <row r="277" spans="1:14" ht="60" x14ac:dyDescent="0.25">
      <c r="A277" s="19" t="s">
        <v>5679</v>
      </c>
      <c r="B277" s="17" t="s">
        <v>5678</v>
      </c>
      <c r="C277" s="20">
        <v>1</v>
      </c>
      <c r="D277" s="18">
        <v>59.5</v>
      </c>
      <c r="E277" s="20" t="s">
        <v>4330</v>
      </c>
      <c r="F277" s="17" t="s">
        <v>51</v>
      </c>
      <c r="G277" s="19" t="s">
        <v>74</v>
      </c>
      <c r="H277" s="18">
        <v>11.2</v>
      </c>
      <c r="I277" s="17" t="s">
        <v>56</v>
      </c>
      <c r="J277" s="17" t="s">
        <v>55</v>
      </c>
      <c r="K277" s="17"/>
      <c r="L277" s="17"/>
      <c r="M277" s="16" t="str">
        <f>HYPERLINK("http://slimages.macys.com/is/image/MCY/20864502 ")</f>
        <v xml:space="preserve">http://slimages.macys.com/is/image/MCY/20864502 </v>
      </c>
      <c r="N277" s="30"/>
    </row>
    <row r="278" spans="1:14" ht="60" x14ac:dyDescent="0.25">
      <c r="A278" s="19" t="s">
        <v>5677</v>
      </c>
      <c r="B278" s="17" t="s">
        <v>5676</v>
      </c>
      <c r="C278" s="20">
        <v>1</v>
      </c>
      <c r="D278" s="18">
        <v>59.5</v>
      </c>
      <c r="E278" s="20">
        <v>30116540</v>
      </c>
      <c r="F278" s="17" t="s">
        <v>75</v>
      </c>
      <c r="G278" s="19"/>
      <c r="H278" s="18">
        <v>11.106666666666667</v>
      </c>
      <c r="I278" s="17" t="s">
        <v>80</v>
      </c>
      <c r="J278" s="17" t="s">
        <v>513</v>
      </c>
      <c r="K278" s="17"/>
      <c r="L278" s="17"/>
      <c r="M278" s="16" t="str">
        <f>HYPERLINK("http://slimages.macys.com/is/image/MCY/17017044 ")</f>
        <v xml:space="preserve">http://slimages.macys.com/is/image/MCY/17017044 </v>
      </c>
      <c r="N278" s="30"/>
    </row>
    <row r="279" spans="1:14" ht="60" x14ac:dyDescent="0.25">
      <c r="A279" s="19" t="s">
        <v>5675</v>
      </c>
      <c r="B279" s="17" t="s">
        <v>5674</v>
      </c>
      <c r="C279" s="20">
        <v>1</v>
      </c>
      <c r="D279" s="18">
        <v>59</v>
      </c>
      <c r="E279" s="20" t="s">
        <v>5673</v>
      </c>
      <c r="F279" s="17" t="s">
        <v>345</v>
      </c>
      <c r="G279" s="19" t="s">
        <v>74</v>
      </c>
      <c r="H279" s="18">
        <v>11.026666666666667</v>
      </c>
      <c r="I279" s="17" t="s">
        <v>820</v>
      </c>
      <c r="J279" s="17" t="s">
        <v>67</v>
      </c>
      <c r="K279" s="17"/>
      <c r="L279" s="17"/>
      <c r="M279" s="16" t="str">
        <f>HYPERLINK("http://slimages.macys.com/is/image/MCY/19125145 ")</f>
        <v xml:space="preserve">http://slimages.macys.com/is/image/MCY/19125145 </v>
      </c>
      <c r="N279" s="30"/>
    </row>
    <row r="280" spans="1:14" ht="60" x14ac:dyDescent="0.25">
      <c r="A280" s="19" t="s">
        <v>5672</v>
      </c>
      <c r="B280" s="17" t="s">
        <v>5671</v>
      </c>
      <c r="C280" s="20">
        <v>1</v>
      </c>
      <c r="D280" s="18">
        <v>48.3</v>
      </c>
      <c r="E280" s="20" t="s">
        <v>5670</v>
      </c>
      <c r="F280" s="17" t="s">
        <v>63</v>
      </c>
      <c r="G280" s="19" t="s">
        <v>62</v>
      </c>
      <c r="H280" s="18">
        <v>11</v>
      </c>
      <c r="I280" s="17" t="s">
        <v>42</v>
      </c>
      <c r="J280" s="17" t="s">
        <v>41</v>
      </c>
      <c r="K280" s="17"/>
      <c r="L280" s="17"/>
      <c r="M280" s="16" t="str">
        <f>HYPERLINK("http://slimages.macys.com/is/image/MCY/19491084 ")</f>
        <v xml:space="preserve">http://slimages.macys.com/is/image/MCY/19491084 </v>
      </c>
      <c r="N280" s="30"/>
    </row>
    <row r="281" spans="1:14" ht="60" x14ac:dyDescent="0.25">
      <c r="A281" s="19" t="s">
        <v>5669</v>
      </c>
      <c r="B281" s="17" t="s">
        <v>5668</v>
      </c>
      <c r="C281" s="20">
        <v>1</v>
      </c>
      <c r="D281" s="18">
        <v>55</v>
      </c>
      <c r="E281" s="20" t="s">
        <v>2628</v>
      </c>
      <c r="F281" s="17" t="s">
        <v>558</v>
      </c>
      <c r="G281" s="19" t="s">
        <v>101</v>
      </c>
      <c r="H281" s="18">
        <v>10.9</v>
      </c>
      <c r="I281" s="17" t="s">
        <v>16</v>
      </c>
      <c r="J281" s="17" t="s">
        <v>15</v>
      </c>
      <c r="K281" s="17"/>
      <c r="L281" s="17"/>
      <c r="M281" s="16" t="str">
        <f>HYPERLINK("http://slimages.macys.com/is/image/MCY/18438496 ")</f>
        <v xml:space="preserve">http://slimages.macys.com/is/image/MCY/18438496 </v>
      </c>
      <c r="N281" s="30"/>
    </row>
    <row r="282" spans="1:14" ht="60" x14ac:dyDescent="0.25">
      <c r="A282" s="19" t="s">
        <v>5667</v>
      </c>
      <c r="B282" s="17" t="s">
        <v>5666</v>
      </c>
      <c r="C282" s="20">
        <v>1</v>
      </c>
      <c r="D282" s="18">
        <v>59</v>
      </c>
      <c r="E282" s="20" t="s">
        <v>2625</v>
      </c>
      <c r="F282" s="17" t="s">
        <v>140</v>
      </c>
      <c r="G282" s="19" t="s">
        <v>43</v>
      </c>
      <c r="H282" s="18">
        <v>10.893333333333333</v>
      </c>
      <c r="I282" s="17" t="s">
        <v>405</v>
      </c>
      <c r="J282" s="17" t="s">
        <v>404</v>
      </c>
      <c r="K282" s="17"/>
      <c r="L282" s="17"/>
      <c r="M282" s="16" t="str">
        <f>HYPERLINK("http://slimages.macys.com/is/image/MCY/19217235 ")</f>
        <v xml:space="preserve">http://slimages.macys.com/is/image/MCY/19217235 </v>
      </c>
      <c r="N282" s="30"/>
    </row>
    <row r="283" spans="1:14" ht="60" x14ac:dyDescent="0.25">
      <c r="A283" s="19" t="s">
        <v>5665</v>
      </c>
      <c r="B283" s="17" t="s">
        <v>5664</v>
      </c>
      <c r="C283" s="20">
        <v>1</v>
      </c>
      <c r="D283" s="18">
        <v>49</v>
      </c>
      <c r="E283" s="20" t="s">
        <v>3454</v>
      </c>
      <c r="F283" s="17" t="s">
        <v>216</v>
      </c>
      <c r="G283" s="19" t="s">
        <v>62</v>
      </c>
      <c r="H283" s="18">
        <v>10.813333333333334</v>
      </c>
      <c r="I283" s="17" t="s">
        <v>49</v>
      </c>
      <c r="J283" s="17" t="s">
        <v>48</v>
      </c>
      <c r="K283" s="17"/>
      <c r="L283" s="17"/>
      <c r="M283" s="16" t="str">
        <f>HYPERLINK("http://slimages.macys.com/is/image/MCY/19421639 ")</f>
        <v xml:space="preserve">http://slimages.macys.com/is/image/MCY/19421639 </v>
      </c>
      <c r="N283" s="30"/>
    </row>
    <row r="284" spans="1:14" ht="60" x14ac:dyDescent="0.25">
      <c r="A284" s="19" t="s">
        <v>5663</v>
      </c>
      <c r="B284" s="17" t="s">
        <v>5662</v>
      </c>
      <c r="C284" s="20">
        <v>1</v>
      </c>
      <c r="D284" s="18">
        <v>49</v>
      </c>
      <c r="E284" s="20" t="s">
        <v>327</v>
      </c>
      <c r="F284" s="17" t="s">
        <v>216</v>
      </c>
      <c r="G284" s="19" t="s">
        <v>62</v>
      </c>
      <c r="H284" s="18">
        <v>10.813333333333334</v>
      </c>
      <c r="I284" s="17" t="s">
        <v>49</v>
      </c>
      <c r="J284" s="17" t="s">
        <v>48</v>
      </c>
      <c r="K284" s="17"/>
      <c r="L284" s="17"/>
      <c r="M284" s="16" t="str">
        <f>HYPERLINK("http://slimages.macys.com/is/image/MCY/18254944 ")</f>
        <v xml:space="preserve">http://slimages.macys.com/is/image/MCY/18254944 </v>
      </c>
      <c r="N284" s="30"/>
    </row>
    <row r="285" spans="1:14" ht="60" x14ac:dyDescent="0.25">
      <c r="A285" s="19" t="s">
        <v>5661</v>
      </c>
      <c r="B285" s="17" t="s">
        <v>5660</v>
      </c>
      <c r="C285" s="20">
        <v>1</v>
      </c>
      <c r="D285" s="18">
        <v>49</v>
      </c>
      <c r="E285" s="20" t="s">
        <v>3454</v>
      </c>
      <c r="F285" s="17" t="s">
        <v>216</v>
      </c>
      <c r="G285" s="19" t="s">
        <v>50</v>
      </c>
      <c r="H285" s="18">
        <v>10.813333333333334</v>
      </c>
      <c r="I285" s="17" t="s">
        <v>49</v>
      </c>
      <c r="J285" s="17" t="s">
        <v>48</v>
      </c>
      <c r="K285" s="17"/>
      <c r="L285" s="17"/>
      <c r="M285" s="16" t="str">
        <f>HYPERLINK("http://slimages.macys.com/is/image/MCY/19421639 ")</f>
        <v xml:space="preserve">http://slimages.macys.com/is/image/MCY/19421639 </v>
      </c>
      <c r="N285" s="30"/>
    </row>
    <row r="286" spans="1:14" ht="60" x14ac:dyDescent="0.25">
      <c r="A286" s="19" t="s">
        <v>5659</v>
      </c>
      <c r="B286" s="17" t="s">
        <v>5658</v>
      </c>
      <c r="C286" s="20">
        <v>1</v>
      </c>
      <c r="D286" s="18">
        <v>49</v>
      </c>
      <c r="E286" s="20" t="s">
        <v>331</v>
      </c>
      <c r="F286" s="17" t="s">
        <v>544</v>
      </c>
      <c r="G286" s="19" t="s">
        <v>101</v>
      </c>
      <c r="H286" s="18">
        <v>10.813333333333334</v>
      </c>
      <c r="I286" s="17" t="s">
        <v>49</v>
      </c>
      <c r="J286" s="17" t="s">
        <v>48</v>
      </c>
      <c r="K286" s="17"/>
      <c r="L286" s="17"/>
      <c r="M286" s="16" t="str">
        <f>HYPERLINK("http://slimages.macys.com/is/image/MCY/19635002 ")</f>
        <v xml:space="preserve">http://slimages.macys.com/is/image/MCY/19635002 </v>
      </c>
      <c r="N286" s="30"/>
    </row>
    <row r="287" spans="1:14" ht="60" x14ac:dyDescent="0.25">
      <c r="A287" s="19" t="s">
        <v>5657</v>
      </c>
      <c r="B287" s="17" t="s">
        <v>5656</v>
      </c>
      <c r="C287" s="20">
        <v>2</v>
      </c>
      <c r="D287" s="18">
        <v>41.3</v>
      </c>
      <c r="E287" s="20" t="s">
        <v>324</v>
      </c>
      <c r="F287" s="17" t="s">
        <v>58</v>
      </c>
      <c r="G287" s="19" t="s">
        <v>197</v>
      </c>
      <c r="H287" s="18">
        <v>10.773333333333335</v>
      </c>
      <c r="I287" s="17" t="s">
        <v>42</v>
      </c>
      <c r="J287" s="17" t="s">
        <v>41</v>
      </c>
      <c r="K287" s="17"/>
      <c r="L287" s="17"/>
      <c r="M287" s="16" t="str">
        <f>HYPERLINK("http://slimages.macys.com/is/image/MCY/18757201 ")</f>
        <v xml:space="preserve">http://slimages.macys.com/is/image/MCY/18757201 </v>
      </c>
      <c r="N287" s="30"/>
    </row>
    <row r="288" spans="1:14" ht="60" x14ac:dyDescent="0.25">
      <c r="A288" s="19" t="s">
        <v>5655</v>
      </c>
      <c r="B288" s="17" t="s">
        <v>5654</v>
      </c>
      <c r="C288" s="20">
        <v>2</v>
      </c>
      <c r="D288" s="18">
        <v>35</v>
      </c>
      <c r="E288" s="20" t="s">
        <v>318</v>
      </c>
      <c r="F288" s="17" t="s">
        <v>23</v>
      </c>
      <c r="G288" s="19" t="s">
        <v>17</v>
      </c>
      <c r="H288" s="18">
        <v>10.633333333333333</v>
      </c>
      <c r="I288" s="17" t="s">
        <v>16</v>
      </c>
      <c r="J288" s="17" t="s">
        <v>15</v>
      </c>
      <c r="K288" s="17"/>
      <c r="L288" s="17"/>
      <c r="M288" s="16" t="str">
        <f>HYPERLINK("http://slimages.macys.com/is/image/MCY/18798857 ")</f>
        <v xml:space="preserve">http://slimages.macys.com/is/image/MCY/18798857 </v>
      </c>
      <c r="N288" s="30"/>
    </row>
    <row r="289" spans="1:14" ht="60" x14ac:dyDescent="0.25">
      <c r="A289" s="19" t="s">
        <v>5653</v>
      </c>
      <c r="B289" s="17" t="s">
        <v>5652</v>
      </c>
      <c r="C289" s="20">
        <v>1</v>
      </c>
      <c r="D289" s="18">
        <v>49.5</v>
      </c>
      <c r="E289" s="20" t="s">
        <v>3433</v>
      </c>
      <c r="F289" s="17" t="s">
        <v>330</v>
      </c>
      <c r="G289" s="19" t="s">
        <v>69</v>
      </c>
      <c r="H289" s="18">
        <v>10.5</v>
      </c>
      <c r="I289" s="17" t="s">
        <v>80</v>
      </c>
      <c r="J289" s="17" t="s">
        <v>531</v>
      </c>
      <c r="K289" s="17"/>
      <c r="L289" s="17"/>
      <c r="M289" s="16" t="str">
        <f>HYPERLINK("http://slimages.macys.com/is/image/MCY/18364454 ")</f>
        <v xml:space="preserve">http://slimages.macys.com/is/image/MCY/18364454 </v>
      </c>
      <c r="N289" s="30"/>
    </row>
    <row r="290" spans="1:14" ht="60" x14ac:dyDescent="0.25">
      <c r="A290" s="19" t="s">
        <v>5651</v>
      </c>
      <c r="B290" s="17" t="s">
        <v>5650</v>
      </c>
      <c r="C290" s="20">
        <v>1</v>
      </c>
      <c r="D290" s="18">
        <v>49</v>
      </c>
      <c r="E290" s="20" t="s">
        <v>3454</v>
      </c>
      <c r="F290" s="17" t="s">
        <v>1356</v>
      </c>
      <c r="G290" s="19" t="s">
        <v>17</v>
      </c>
      <c r="H290" s="18">
        <v>10.46</v>
      </c>
      <c r="I290" s="17" t="s">
        <v>49</v>
      </c>
      <c r="J290" s="17" t="s">
        <v>48</v>
      </c>
      <c r="K290" s="17"/>
      <c r="L290" s="17"/>
      <c r="M290" s="16" t="str">
        <f>HYPERLINK("http://slimages.macys.com/is/image/MCY/18255043 ")</f>
        <v xml:space="preserve">http://slimages.macys.com/is/image/MCY/18255043 </v>
      </c>
      <c r="N290" s="30"/>
    </row>
    <row r="291" spans="1:14" ht="60" x14ac:dyDescent="0.25">
      <c r="A291" s="19" t="s">
        <v>5649</v>
      </c>
      <c r="B291" s="17" t="s">
        <v>5648</v>
      </c>
      <c r="C291" s="20">
        <v>1</v>
      </c>
      <c r="D291" s="18">
        <v>69.5</v>
      </c>
      <c r="E291" s="20" t="s">
        <v>5647</v>
      </c>
      <c r="F291" s="17" t="s">
        <v>345</v>
      </c>
      <c r="G291" s="19" t="s">
        <v>658</v>
      </c>
      <c r="H291" s="18">
        <v>10.166666666666666</v>
      </c>
      <c r="I291" s="17" t="s">
        <v>68</v>
      </c>
      <c r="J291" s="17" t="s">
        <v>67</v>
      </c>
      <c r="K291" s="17" t="s">
        <v>389</v>
      </c>
      <c r="L291" s="17" t="s">
        <v>5646</v>
      </c>
      <c r="M291" s="16" t="str">
        <f>HYPERLINK("http://slimages.macys.com/is/image/MCY/14542133 ")</f>
        <v xml:space="preserve">http://slimages.macys.com/is/image/MCY/14542133 </v>
      </c>
      <c r="N291" s="30"/>
    </row>
    <row r="292" spans="1:14" ht="60" x14ac:dyDescent="0.25">
      <c r="A292" s="19" t="s">
        <v>5645</v>
      </c>
      <c r="B292" s="17" t="s">
        <v>5644</v>
      </c>
      <c r="C292" s="20">
        <v>1</v>
      </c>
      <c r="D292" s="18">
        <v>69</v>
      </c>
      <c r="E292" s="20">
        <v>2321311</v>
      </c>
      <c r="F292" s="17" t="s">
        <v>23</v>
      </c>
      <c r="G292" s="19" t="s">
        <v>17</v>
      </c>
      <c r="H292" s="18">
        <v>10</v>
      </c>
      <c r="I292" s="17" t="s">
        <v>80</v>
      </c>
      <c r="J292" s="17" t="s">
        <v>293</v>
      </c>
      <c r="K292" s="17"/>
      <c r="L292" s="17"/>
      <c r="M292" s="16" t="str">
        <f>HYPERLINK("http://slimages.macys.com/is/image/MCY/18947668 ")</f>
        <v xml:space="preserve">http://slimages.macys.com/is/image/MCY/18947668 </v>
      </c>
      <c r="N292" s="30"/>
    </row>
    <row r="293" spans="1:14" ht="60" x14ac:dyDescent="0.25">
      <c r="A293" s="19" t="s">
        <v>3414</v>
      </c>
      <c r="B293" s="17" t="s">
        <v>3413</v>
      </c>
      <c r="C293" s="20">
        <v>1</v>
      </c>
      <c r="D293" s="18">
        <v>59.5</v>
      </c>
      <c r="E293" s="20">
        <v>30159485</v>
      </c>
      <c r="F293" s="17" t="s">
        <v>23</v>
      </c>
      <c r="G293" s="19" t="s">
        <v>62</v>
      </c>
      <c r="H293" s="18">
        <v>9.92</v>
      </c>
      <c r="I293" s="17" t="s">
        <v>481</v>
      </c>
      <c r="J293" s="17" t="s">
        <v>480</v>
      </c>
      <c r="K293" s="17"/>
      <c r="L293" s="17"/>
      <c r="M293" s="16" t="str">
        <f>HYPERLINK("http://slimages.macys.com/is/image/MCY/21169349 ")</f>
        <v xml:space="preserve">http://slimages.macys.com/is/image/MCY/21169349 </v>
      </c>
      <c r="N293" s="30"/>
    </row>
    <row r="294" spans="1:14" ht="60" x14ac:dyDescent="0.25">
      <c r="A294" s="19" t="s">
        <v>5643</v>
      </c>
      <c r="B294" s="17" t="s">
        <v>5642</v>
      </c>
      <c r="C294" s="20">
        <v>1</v>
      </c>
      <c r="D294" s="18">
        <v>59.5</v>
      </c>
      <c r="E294" s="20">
        <v>30159485</v>
      </c>
      <c r="F294" s="17" t="s">
        <v>23</v>
      </c>
      <c r="G294" s="19" t="s">
        <v>197</v>
      </c>
      <c r="H294" s="18">
        <v>9.92</v>
      </c>
      <c r="I294" s="17" t="s">
        <v>481</v>
      </c>
      <c r="J294" s="17" t="s">
        <v>480</v>
      </c>
      <c r="K294" s="17"/>
      <c r="L294" s="17"/>
      <c r="M294" s="16" t="str">
        <f>HYPERLINK("http://slimages.macys.com/is/image/MCY/21169349 ")</f>
        <v xml:space="preserve">http://slimages.macys.com/is/image/MCY/21169349 </v>
      </c>
      <c r="N294" s="30"/>
    </row>
    <row r="295" spans="1:14" ht="60" x14ac:dyDescent="0.25">
      <c r="A295" s="19" t="s">
        <v>5641</v>
      </c>
      <c r="B295" s="17" t="s">
        <v>5640</v>
      </c>
      <c r="C295" s="20">
        <v>1</v>
      </c>
      <c r="D295" s="18">
        <v>59</v>
      </c>
      <c r="E295" s="20">
        <v>7021670</v>
      </c>
      <c r="F295" s="17" t="s">
        <v>91</v>
      </c>
      <c r="G295" s="19" t="s">
        <v>17</v>
      </c>
      <c r="H295" s="18">
        <v>9.8333333333333339</v>
      </c>
      <c r="I295" s="17" t="s">
        <v>111</v>
      </c>
      <c r="J295" s="17" t="s">
        <v>110</v>
      </c>
      <c r="K295" s="17"/>
      <c r="L295" s="17"/>
      <c r="M295" s="16" t="str">
        <f>HYPERLINK("http://slimages.macys.com/is/image/MCY/18916010 ")</f>
        <v xml:space="preserve">http://slimages.macys.com/is/image/MCY/18916010 </v>
      </c>
      <c r="N295" s="30"/>
    </row>
    <row r="296" spans="1:14" ht="60" x14ac:dyDescent="0.25">
      <c r="A296" s="19" t="s">
        <v>5639</v>
      </c>
      <c r="B296" s="17" t="s">
        <v>5638</v>
      </c>
      <c r="C296" s="20">
        <v>1</v>
      </c>
      <c r="D296" s="18">
        <v>59</v>
      </c>
      <c r="E296" s="20">
        <v>7031630</v>
      </c>
      <c r="F296" s="17" t="s">
        <v>35</v>
      </c>
      <c r="G296" s="19" t="s">
        <v>101</v>
      </c>
      <c r="H296" s="18">
        <v>9.8333333333333339</v>
      </c>
      <c r="I296" s="17" t="s">
        <v>111</v>
      </c>
      <c r="J296" s="17" t="s">
        <v>110</v>
      </c>
      <c r="K296" s="17"/>
      <c r="L296" s="17"/>
      <c r="M296" s="16" t="str">
        <f>HYPERLINK("http://slimages.macys.com/is/image/MCY/19390798 ")</f>
        <v xml:space="preserve">http://slimages.macys.com/is/image/MCY/19390798 </v>
      </c>
      <c r="N296" s="30"/>
    </row>
    <row r="297" spans="1:14" ht="60" x14ac:dyDescent="0.25">
      <c r="A297" s="19" t="s">
        <v>5637</v>
      </c>
      <c r="B297" s="17" t="s">
        <v>5636</v>
      </c>
      <c r="C297" s="20">
        <v>1</v>
      </c>
      <c r="D297" s="18">
        <v>50</v>
      </c>
      <c r="E297" s="20" t="s">
        <v>5635</v>
      </c>
      <c r="F297" s="17" t="s">
        <v>51</v>
      </c>
      <c r="G297" s="19" t="s">
        <v>22</v>
      </c>
      <c r="H297" s="18">
        <v>9.7666666666666675</v>
      </c>
      <c r="I297" s="17" t="s">
        <v>16</v>
      </c>
      <c r="J297" s="17" t="s">
        <v>15</v>
      </c>
      <c r="K297" s="17"/>
      <c r="L297" s="17"/>
      <c r="M297" s="16" t="str">
        <f>HYPERLINK("http://slimages.macys.com/is/image/MCY/19147372 ")</f>
        <v xml:space="preserve">http://slimages.macys.com/is/image/MCY/19147372 </v>
      </c>
      <c r="N297" s="30"/>
    </row>
    <row r="298" spans="1:14" ht="60" x14ac:dyDescent="0.25">
      <c r="A298" s="19" t="s">
        <v>5634</v>
      </c>
      <c r="B298" s="17" t="s">
        <v>5633</v>
      </c>
      <c r="C298" s="20">
        <v>1</v>
      </c>
      <c r="D298" s="18">
        <v>44</v>
      </c>
      <c r="E298" s="20" t="s">
        <v>5632</v>
      </c>
      <c r="F298" s="17" t="s">
        <v>1022</v>
      </c>
      <c r="G298" s="19" t="s">
        <v>22</v>
      </c>
      <c r="H298" s="18">
        <v>9.706666666666667</v>
      </c>
      <c r="I298" s="17" t="s">
        <v>49</v>
      </c>
      <c r="J298" s="17" t="s">
        <v>48</v>
      </c>
      <c r="K298" s="17"/>
      <c r="L298" s="17"/>
      <c r="M298" s="16" t="str">
        <f>HYPERLINK("http://slimages.macys.com/is/image/MCY/19163512 ")</f>
        <v xml:space="preserve">http://slimages.macys.com/is/image/MCY/19163512 </v>
      </c>
      <c r="N298" s="30"/>
    </row>
    <row r="299" spans="1:14" ht="60" x14ac:dyDescent="0.25">
      <c r="A299" s="19" t="s">
        <v>5631</v>
      </c>
      <c r="B299" s="17" t="s">
        <v>5630</v>
      </c>
      <c r="C299" s="20">
        <v>1</v>
      </c>
      <c r="D299" s="18">
        <v>44</v>
      </c>
      <c r="E299" s="20" t="s">
        <v>305</v>
      </c>
      <c r="F299" s="17" t="s">
        <v>206</v>
      </c>
      <c r="G299" s="19" t="s">
        <v>22</v>
      </c>
      <c r="H299" s="18">
        <v>9.706666666666667</v>
      </c>
      <c r="I299" s="17" t="s">
        <v>49</v>
      </c>
      <c r="J299" s="17" t="s">
        <v>48</v>
      </c>
      <c r="K299" s="17"/>
      <c r="L299" s="17"/>
      <c r="M299" s="16" t="str">
        <f>HYPERLINK("http://slimages.macys.com/is/image/MCY/19379386 ")</f>
        <v xml:space="preserve">http://slimages.macys.com/is/image/MCY/19379386 </v>
      </c>
      <c r="N299" s="30"/>
    </row>
    <row r="300" spans="1:14" ht="60" x14ac:dyDescent="0.25">
      <c r="A300" s="19" t="s">
        <v>5629</v>
      </c>
      <c r="B300" s="17" t="s">
        <v>5628</v>
      </c>
      <c r="C300" s="20">
        <v>1</v>
      </c>
      <c r="D300" s="18">
        <v>52</v>
      </c>
      <c r="E300" s="20" t="s">
        <v>5627</v>
      </c>
      <c r="F300" s="17" t="s">
        <v>35</v>
      </c>
      <c r="G300" s="19" t="s">
        <v>62</v>
      </c>
      <c r="H300" s="18">
        <v>9.706666666666667</v>
      </c>
      <c r="I300" s="17" t="s">
        <v>80</v>
      </c>
      <c r="J300" s="17" t="s">
        <v>183</v>
      </c>
      <c r="K300" s="17"/>
      <c r="L300" s="17"/>
      <c r="M300" s="16" t="str">
        <f>HYPERLINK("http://slimages.macys.com/is/image/MCY/18734371 ")</f>
        <v xml:space="preserve">http://slimages.macys.com/is/image/MCY/18734371 </v>
      </c>
      <c r="N300" s="30"/>
    </row>
    <row r="301" spans="1:14" ht="60" x14ac:dyDescent="0.25">
      <c r="A301" s="19" t="s">
        <v>5626</v>
      </c>
      <c r="B301" s="17" t="s">
        <v>5625</v>
      </c>
      <c r="C301" s="20">
        <v>1</v>
      </c>
      <c r="D301" s="18">
        <v>40</v>
      </c>
      <c r="E301" s="20" t="s">
        <v>5624</v>
      </c>
      <c r="F301" s="17"/>
      <c r="G301" s="19" t="s">
        <v>5623</v>
      </c>
      <c r="H301" s="18">
        <v>9.6666666666666661</v>
      </c>
      <c r="I301" s="17" t="s">
        <v>80</v>
      </c>
      <c r="J301" s="17" t="s">
        <v>187</v>
      </c>
      <c r="K301" s="17"/>
      <c r="L301" s="17"/>
      <c r="M301" s="16" t="str">
        <f>HYPERLINK("http://slimages.macys.com/is/image/MCY/16577605 ")</f>
        <v xml:space="preserve">http://slimages.macys.com/is/image/MCY/16577605 </v>
      </c>
      <c r="N301" s="30"/>
    </row>
    <row r="302" spans="1:14" ht="60" x14ac:dyDescent="0.25">
      <c r="A302" s="19" t="s">
        <v>5622</v>
      </c>
      <c r="B302" s="17" t="s">
        <v>5621</v>
      </c>
      <c r="C302" s="20">
        <v>2</v>
      </c>
      <c r="D302" s="18">
        <v>49.5</v>
      </c>
      <c r="E302" s="20" t="s">
        <v>5620</v>
      </c>
      <c r="F302" s="17" t="s">
        <v>23</v>
      </c>
      <c r="G302" s="19" t="s">
        <v>271</v>
      </c>
      <c r="H302" s="18">
        <v>9.4066666666666681</v>
      </c>
      <c r="I302" s="17" t="s">
        <v>540</v>
      </c>
      <c r="J302" s="17" t="s">
        <v>105</v>
      </c>
      <c r="K302" s="17"/>
      <c r="L302" s="17"/>
      <c r="M302" s="16" t="str">
        <f>HYPERLINK("http://slimages.macys.com/is/image/MCY/18890060 ")</f>
        <v xml:space="preserve">http://slimages.macys.com/is/image/MCY/18890060 </v>
      </c>
      <c r="N302" s="30"/>
    </row>
    <row r="303" spans="1:14" ht="60" x14ac:dyDescent="0.25">
      <c r="A303" s="19" t="s">
        <v>5619</v>
      </c>
      <c r="B303" s="17" t="s">
        <v>5618</v>
      </c>
      <c r="C303" s="20">
        <v>1</v>
      </c>
      <c r="D303" s="18">
        <v>59</v>
      </c>
      <c r="E303" s="20">
        <v>2331624</v>
      </c>
      <c r="F303" s="17" t="s">
        <v>63</v>
      </c>
      <c r="G303" s="19" t="s">
        <v>22</v>
      </c>
      <c r="H303" s="18">
        <v>9.3333333333333339</v>
      </c>
      <c r="I303" s="17" t="s">
        <v>80</v>
      </c>
      <c r="J303" s="17" t="s">
        <v>293</v>
      </c>
      <c r="K303" s="17"/>
      <c r="L303" s="17"/>
      <c r="M303" s="16" t="str">
        <f>HYPERLINK("http://slimages.macys.com/is/image/MCY/19226160 ")</f>
        <v xml:space="preserve">http://slimages.macys.com/is/image/MCY/19226160 </v>
      </c>
      <c r="N303" s="30"/>
    </row>
    <row r="304" spans="1:14" ht="60" x14ac:dyDescent="0.25">
      <c r="A304" s="19" t="s">
        <v>5617</v>
      </c>
      <c r="B304" s="17" t="s">
        <v>5616</v>
      </c>
      <c r="C304" s="20">
        <v>1</v>
      </c>
      <c r="D304" s="18">
        <v>49</v>
      </c>
      <c r="E304" s="20">
        <v>2321303</v>
      </c>
      <c r="F304" s="17" t="s">
        <v>70</v>
      </c>
      <c r="G304" s="19" t="s">
        <v>698</v>
      </c>
      <c r="H304" s="18">
        <v>9.3333333333333339</v>
      </c>
      <c r="I304" s="17" t="s">
        <v>80</v>
      </c>
      <c r="J304" s="17" t="s">
        <v>293</v>
      </c>
      <c r="K304" s="17"/>
      <c r="L304" s="17"/>
      <c r="M304" s="16" t="str">
        <f>HYPERLINK("http://slimages.macys.com/is/image/MCY/18749056 ")</f>
        <v xml:space="preserve">http://slimages.macys.com/is/image/MCY/18749056 </v>
      </c>
      <c r="N304" s="30"/>
    </row>
    <row r="305" spans="1:14" ht="60" x14ac:dyDescent="0.25">
      <c r="A305" s="19" t="s">
        <v>5615</v>
      </c>
      <c r="B305" s="17" t="s">
        <v>5614</v>
      </c>
      <c r="C305" s="20">
        <v>1</v>
      </c>
      <c r="D305" s="18">
        <v>59.5</v>
      </c>
      <c r="E305" s="20" t="s">
        <v>5613</v>
      </c>
      <c r="F305" s="17" t="s">
        <v>51</v>
      </c>
      <c r="G305" s="19" t="s">
        <v>74</v>
      </c>
      <c r="H305" s="18">
        <v>9.3333333333333339</v>
      </c>
      <c r="I305" s="17" t="s">
        <v>68</v>
      </c>
      <c r="J305" s="17" t="s">
        <v>67</v>
      </c>
      <c r="K305" s="17" t="s">
        <v>389</v>
      </c>
      <c r="L305" s="17" t="s">
        <v>5612</v>
      </c>
      <c r="M305" s="16" t="str">
        <f>HYPERLINK("http://slimages.macys.com/is/image/MCY/14802127 ")</f>
        <v xml:space="preserve">http://slimages.macys.com/is/image/MCY/14802127 </v>
      </c>
      <c r="N305" s="30"/>
    </row>
    <row r="306" spans="1:14" ht="60" x14ac:dyDescent="0.25">
      <c r="A306" s="19" t="s">
        <v>5611</v>
      </c>
      <c r="B306" s="17" t="s">
        <v>5610</v>
      </c>
      <c r="C306" s="20">
        <v>1</v>
      </c>
      <c r="D306" s="18">
        <v>49.5</v>
      </c>
      <c r="E306" s="20" t="s">
        <v>5594</v>
      </c>
      <c r="F306" s="17" t="s">
        <v>91</v>
      </c>
      <c r="G306" s="19" t="s">
        <v>139</v>
      </c>
      <c r="H306" s="18">
        <v>9.32</v>
      </c>
      <c r="I306" s="17" t="s">
        <v>1891</v>
      </c>
      <c r="J306" s="17" t="s">
        <v>2435</v>
      </c>
      <c r="K306" s="17"/>
      <c r="L306" s="17"/>
      <c r="M306" s="16" t="str">
        <f>HYPERLINK("http://slimages.macys.com/is/image/MCY/19190333 ")</f>
        <v xml:space="preserve">http://slimages.macys.com/is/image/MCY/19190333 </v>
      </c>
      <c r="N306" s="30"/>
    </row>
    <row r="307" spans="1:14" ht="60" x14ac:dyDescent="0.25">
      <c r="A307" s="19" t="s">
        <v>5609</v>
      </c>
      <c r="B307" s="17" t="s">
        <v>5608</v>
      </c>
      <c r="C307" s="20">
        <v>1</v>
      </c>
      <c r="D307" s="18">
        <v>49.5</v>
      </c>
      <c r="E307" s="20" t="s">
        <v>3397</v>
      </c>
      <c r="F307" s="17" t="s">
        <v>58</v>
      </c>
      <c r="G307" s="19" t="s">
        <v>271</v>
      </c>
      <c r="H307" s="18">
        <v>9.32</v>
      </c>
      <c r="I307" s="17" t="s">
        <v>1891</v>
      </c>
      <c r="J307" s="17" t="s">
        <v>2435</v>
      </c>
      <c r="K307" s="17"/>
      <c r="L307" s="17"/>
      <c r="M307" s="16" t="str">
        <f>HYPERLINK("http://slimages.macys.com/is/image/MCY/19189840 ")</f>
        <v xml:space="preserve">http://slimages.macys.com/is/image/MCY/19189840 </v>
      </c>
      <c r="N307" s="30"/>
    </row>
    <row r="308" spans="1:14" ht="60" x14ac:dyDescent="0.25">
      <c r="A308" s="19" t="s">
        <v>5607</v>
      </c>
      <c r="B308" s="17" t="s">
        <v>5606</v>
      </c>
      <c r="C308" s="20">
        <v>1</v>
      </c>
      <c r="D308" s="18">
        <v>49.5</v>
      </c>
      <c r="E308" s="20" t="s">
        <v>5605</v>
      </c>
      <c r="F308" s="17" t="s">
        <v>58</v>
      </c>
      <c r="G308" s="19" t="s">
        <v>69</v>
      </c>
      <c r="H308" s="18">
        <v>9.32</v>
      </c>
      <c r="I308" s="17" t="s">
        <v>56</v>
      </c>
      <c r="J308" s="17" t="s">
        <v>55</v>
      </c>
      <c r="K308" s="17"/>
      <c r="L308" s="17"/>
      <c r="M308" s="16" t="str">
        <f>HYPERLINK("http://slimages.macys.com/is/image/MCY/18941649 ")</f>
        <v xml:space="preserve">http://slimages.macys.com/is/image/MCY/18941649 </v>
      </c>
      <c r="N308" s="30"/>
    </row>
    <row r="309" spans="1:14" ht="60" x14ac:dyDescent="0.25">
      <c r="A309" s="19" t="s">
        <v>290</v>
      </c>
      <c r="B309" s="17" t="s">
        <v>289</v>
      </c>
      <c r="C309" s="20">
        <v>1</v>
      </c>
      <c r="D309" s="18">
        <v>49.5</v>
      </c>
      <c r="E309" s="20" t="s">
        <v>286</v>
      </c>
      <c r="F309" s="17" t="s">
        <v>91</v>
      </c>
      <c r="G309" s="19" t="s">
        <v>57</v>
      </c>
      <c r="H309" s="18">
        <v>9.32</v>
      </c>
      <c r="I309" s="17" t="s">
        <v>56</v>
      </c>
      <c r="J309" s="17" t="s">
        <v>55</v>
      </c>
      <c r="K309" s="17"/>
      <c r="L309" s="17"/>
      <c r="M309" s="16" t="str">
        <f>HYPERLINK("http://slimages.macys.com/is/image/MCY/16687507 ")</f>
        <v xml:space="preserve">http://slimages.macys.com/is/image/MCY/16687507 </v>
      </c>
      <c r="N309" s="30"/>
    </row>
    <row r="310" spans="1:14" ht="60" x14ac:dyDescent="0.25">
      <c r="A310" s="19" t="s">
        <v>3393</v>
      </c>
      <c r="B310" s="17" t="s">
        <v>3392</v>
      </c>
      <c r="C310" s="20">
        <v>2</v>
      </c>
      <c r="D310" s="18">
        <v>49.5</v>
      </c>
      <c r="E310" s="20" t="s">
        <v>286</v>
      </c>
      <c r="F310" s="17" t="s">
        <v>91</v>
      </c>
      <c r="G310" s="19" t="s">
        <v>74</v>
      </c>
      <c r="H310" s="18">
        <v>9.32</v>
      </c>
      <c r="I310" s="17" t="s">
        <v>56</v>
      </c>
      <c r="J310" s="17" t="s">
        <v>55</v>
      </c>
      <c r="K310" s="17"/>
      <c r="L310" s="17"/>
      <c r="M310" s="16" t="str">
        <f>HYPERLINK("http://slimages.macys.com/is/image/MCY/16687507 ")</f>
        <v xml:space="preserve">http://slimages.macys.com/is/image/MCY/16687507 </v>
      </c>
      <c r="N310" s="30"/>
    </row>
    <row r="311" spans="1:14" ht="60" x14ac:dyDescent="0.25">
      <c r="A311" s="19" t="s">
        <v>5604</v>
      </c>
      <c r="B311" s="17" t="s">
        <v>5603</v>
      </c>
      <c r="C311" s="20">
        <v>2</v>
      </c>
      <c r="D311" s="18">
        <v>49.5</v>
      </c>
      <c r="E311" s="20" t="s">
        <v>5602</v>
      </c>
      <c r="F311" s="17" t="s">
        <v>91</v>
      </c>
      <c r="G311" s="19" t="s">
        <v>69</v>
      </c>
      <c r="H311" s="18">
        <v>9.32</v>
      </c>
      <c r="I311" s="17" t="s">
        <v>56</v>
      </c>
      <c r="J311" s="17" t="s">
        <v>55</v>
      </c>
      <c r="K311" s="17"/>
      <c r="L311" s="17"/>
      <c r="M311" s="16" t="str">
        <f>HYPERLINK("http://slimages.macys.com/is/image/MCY/19431010 ")</f>
        <v xml:space="preserve">http://slimages.macys.com/is/image/MCY/19431010 </v>
      </c>
      <c r="N311" s="30"/>
    </row>
    <row r="312" spans="1:14" ht="60" x14ac:dyDescent="0.25">
      <c r="A312" s="19" t="s">
        <v>5601</v>
      </c>
      <c r="B312" s="17" t="s">
        <v>5600</v>
      </c>
      <c r="C312" s="20">
        <v>1</v>
      </c>
      <c r="D312" s="18">
        <v>49.5</v>
      </c>
      <c r="E312" s="20" t="s">
        <v>5599</v>
      </c>
      <c r="F312" s="17" t="s">
        <v>149</v>
      </c>
      <c r="G312" s="19" t="s">
        <v>57</v>
      </c>
      <c r="H312" s="18">
        <v>9.32</v>
      </c>
      <c r="I312" s="17" t="s">
        <v>68</v>
      </c>
      <c r="J312" s="17" t="s">
        <v>67</v>
      </c>
      <c r="K312" s="17"/>
      <c r="L312" s="17"/>
      <c r="M312" s="16" t="str">
        <f>HYPERLINK("http://slimages.macys.com/is/image/MCY/18864724 ")</f>
        <v xml:space="preserve">http://slimages.macys.com/is/image/MCY/18864724 </v>
      </c>
      <c r="N312" s="30"/>
    </row>
    <row r="313" spans="1:14" ht="60" x14ac:dyDescent="0.25">
      <c r="A313" s="19" t="s">
        <v>1049</v>
      </c>
      <c r="B313" s="17" t="s">
        <v>1048</v>
      </c>
      <c r="C313" s="20">
        <v>1</v>
      </c>
      <c r="D313" s="18">
        <v>49.5</v>
      </c>
      <c r="E313" s="20" t="s">
        <v>286</v>
      </c>
      <c r="F313" s="17" t="s">
        <v>51</v>
      </c>
      <c r="G313" s="19" t="s">
        <v>57</v>
      </c>
      <c r="H313" s="18">
        <v>9.32</v>
      </c>
      <c r="I313" s="17" t="s">
        <v>56</v>
      </c>
      <c r="J313" s="17" t="s">
        <v>55</v>
      </c>
      <c r="K313" s="17"/>
      <c r="L313" s="17"/>
      <c r="M313" s="16" t="str">
        <f>HYPERLINK("http://slimages.macys.com/is/image/MCY/19254685 ")</f>
        <v xml:space="preserve">http://slimages.macys.com/is/image/MCY/19254685 </v>
      </c>
      <c r="N313" s="30"/>
    </row>
    <row r="314" spans="1:14" ht="60" x14ac:dyDescent="0.25">
      <c r="A314" s="19" t="s">
        <v>2590</v>
      </c>
      <c r="B314" s="17" t="s">
        <v>2589</v>
      </c>
      <c r="C314" s="20">
        <v>3</v>
      </c>
      <c r="D314" s="18">
        <v>49.5</v>
      </c>
      <c r="E314" s="20" t="s">
        <v>286</v>
      </c>
      <c r="F314" s="17" t="s">
        <v>91</v>
      </c>
      <c r="G314" s="19" t="s">
        <v>197</v>
      </c>
      <c r="H314" s="18">
        <v>9.32</v>
      </c>
      <c r="I314" s="17" t="s">
        <v>56</v>
      </c>
      <c r="J314" s="17" t="s">
        <v>55</v>
      </c>
      <c r="K314" s="17"/>
      <c r="L314" s="17"/>
      <c r="M314" s="16" t="str">
        <f>HYPERLINK("http://slimages.macys.com/is/image/MCY/16687507 ")</f>
        <v xml:space="preserve">http://slimages.macys.com/is/image/MCY/16687507 </v>
      </c>
      <c r="N314" s="30"/>
    </row>
    <row r="315" spans="1:14" ht="60" x14ac:dyDescent="0.25">
      <c r="A315" s="19" t="s">
        <v>5598</v>
      </c>
      <c r="B315" s="17" t="s">
        <v>5597</v>
      </c>
      <c r="C315" s="20">
        <v>6</v>
      </c>
      <c r="D315" s="18">
        <v>49.5</v>
      </c>
      <c r="E315" s="20" t="s">
        <v>5594</v>
      </c>
      <c r="F315" s="17" t="s">
        <v>91</v>
      </c>
      <c r="G315" s="19" t="s">
        <v>351</v>
      </c>
      <c r="H315" s="18">
        <v>9.32</v>
      </c>
      <c r="I315" s="17" t="s">
        <v>1891</v>
      </c>
      <c r="J315" s="17" t="s">
        <v>2435</v>
      </c>
      <c r="K315" s="17"/>
      <c r="L315" s="17"/>
      <c r="M315" s="16" t="str">
        <f>HYPERLINK("http://slimages.macys.com/is/image/MCY/19190333 ")</f>
        <v xml:space="preserve">http://slimages.macys.com/is/image/MCY/19190333 </v>
      </c>
      <c r="N315" s="30"/>
    </row>
    <row r="316" spans="1:14" ht="60" x14ac:dyDescent="0.25">
      <c r="A316" s="19" t="s">
        <v>5596</v>
      </c>
      <c r="B316" s="17" t="s">
        <v>5595</v>
      </c>
      <c r="C316" s="20">
        <v>3</v>
      </c>
      <c r="D316" s="18">
        <v>49.5</v>
      </c>
      <c r="E316" s="20" t="s">
        <v>5594</v>
      </c>
      <c r="F316" s="17" t="s">
        <v>91</v>
      </c>
      <c r="G316" s="19" t="s">
        <v>271</v>
      </c>
      <c r="H316" s="18">
        <v>9.32</v>
      </c>
      <c r="I316" s="17" t="s">
        <v>1891</v>
      </c>
      <c r="J316" s="17" t="s">
        <v>2435</v>
      </c>
      <c r="K316" s="17"/>
      <c r="L316" s="17"/>
      <c r="M316" s="16" t="str">
        <f>HYPERLINK("http://slimages.macys.com/is/image/MCY/19190333 ")</f>
        <v xml:space="preserve">http://slimages.macys.com/is/image/MCY/19190333 </v>
      </c>
      <c r="N316" s="30"/>
    </row>
    <row r="317" spans="1:14" ht="60" x14ac:dyDescent="0.25">
      <c r="A317" s="19" t="s">
        <v>281</v>
      </c>
      <c r="B317" s="17" t="s">
        <v>280</v>
      </c>
      <c r="C317" s="20">
        <v>1</v>
      </c>
      <c r="D317" s="18">
        <v>35</v>
      </c>
      <c r="E317" s="20" t="s">
        <v>279</v>
      </c>
      <c r="F317" s="17" t="s">
        <v>51</v>
      </c>
      <c r="G317" s="19" t="s">
        <v>22</v>
      </c>
      <c r="H317" s="18">
        <v>9.2533333333333339</v>
      </c>
      <c r="I317" s="17" t="s">
        <v>16</v>
      </c>
      <c r="J317" s="17" t="s">
        <v>15</v>
      </c>
      <c r="K317" s="17"/>
      <c r="L317" s="17"/>
      <c r="M317" s="16" t="str">
        <f>HYPERLINK("http://slimages.macys.com/is/image/MCY/19026313 ")</f>
        <v xml:space="preserve">http://slimages.macys.com/is/image/MCY/19026313 </v>
      </c>
      <c r="N317" s="30"/>
    </row>
    <row r="318" spans="1:14" ht="60" x14ac:dyDescent="0.25">
      <c r="A318" s="19" t="s">
        <v>3381</v>
      </c>
      <c r="B318" s="17" t="s">
        <v>3380</v>
      </c>
      <c r="C318" s="20">
        <v>1</v>
      </c>
      <c r="D318" s="18">
        <v>35</v>
      </c>
      <c r="E318" s="20" t="s">
        <v>279</v>
      </c>
      <c r="F318" s="17" t="s">
        <v>51</v>
      </c>
      <c r="G318" s="19" t="s">
        <v>50</v>
      </c>
      <c r="H318" s="18">
        <v>9.2533333333333339</v>
      </c>
      <c r="I318" s="17" t="s">
        <v>16</v>
      </c>
      <c r="J318" s="17" t="s">
        <v>15</v>
      </c>
      <c r="K318" s="17"/>
      <c r="L318" s="17"/>
      <c r="M318" s="16" t="str">
        <f>HYPERLINK("http://slimages.macys.com/is/image/MCY/19026313 ")</f>
        <v xml:space="preserve">http://slimages.macys.com/is/image/MCY/19026313 </v>
      </c>
      <c r="N318" s="30"/>
    </row>
    <row r="319" spans="1:14" ht="60" x14ac:dyDescent="0.25">
      <c r="A319" s="19" t="s">
        <v>5593</v>
      </c>
      <c r="B319" s="17" t="s">
        <v>5592</v>
      </c>
      <c r="C319" s="20">
        <v>1</v>
      </c>
      <c r="D319" s="18">
        <v>35</v>
      </c>
      <c r="E319" s="20" t="s">
        <v>279</v>
      </c>
      <c r="F319" s="17" t="s">
        <v>51</v>
      </c>
      <c r="G319" s="19" t="s">
        <v>101</v>
      </c>
      <c r="H319" s="18">
        <v>9.2533333333333339</v>
      </c>
      <c r="I319" s="17" t="s">
        <v>16</v>
      </c>
      <c r="J319" s="17" t="s">
        <v>15</v>
      </c>
      <c r="K319" s="17"/>
      <c r="L319" s="17"/>
      <c r="M319" s="16" t="str">
        <f>HYPERLINK("http://slimages.macys.com/is/image/MCY/19026313 ")</f>
        <v xml:space="preserve">http://slimages.macys.com/is/image/MCY/19026313 </v>
      </c>
      <c r="N319" s="30"/>
    </row>
    <row r="320" spans="1:14" ht="60" x14ac:dyDescent="0.25">
      <c r="A320" s="19" t="s">
        <v>5591</v>
      </c>
      <c r="B320" s="17" t="s">
        <v>5590</v>
      </c>
      <c r="C320" s="20">
        <v>1</v>
      </c>
      <c r="D320" s="18">
        <v>35</v>
      </c>
      <c r="E320" s="20" t="s">
        <v>279</v>
      </c>
      <c r="F320" s="17" t="s">
        <v>51</v>
      </c>
      <c r="G320" s="19" t="s">
        <v>17</v>
      </c>
      <c r="H320" s="18">
        <v>9.2533333333333339</v>
      </c>
      <c r="I320" s="17" t="s">
        <v>16</v>
      </c>
      <c r="J320" s="17" t="s">
        <v>15</v>
      </c>
      <c r="K320" s="17"/>
      <c r="L320" s="17"/>
      <c r="M320" s="16" t="str">
        <f>HYPERLINK("http://slimages.macys.com/is/image/MCY/19026313 ")</f>
        <v xml:space="preserve">http://slimages.macys.com/is/image/MCY/19026313 </v>
      </c>
      <c r="N320" s="30"/>
    </row>
    <row r="321" spans="1:14" ht="60" x14ac:dyDescent="0.25">
      <c r="A321" s="19" t="s">
        <v>5589</v>
      </c>
      <c r="B321" s="17" t="s">
        <v>5588</v>
      </c>
      <c r="C321" s="20">
        <v>1</v>
      </c>
      <c r="D321" s="18">
        <v>69</v>
      </c>
      <c r="E321" s="20">
        <v>8150160</v>
      </c>
      <c r="F321" s="17" t="s">
        <v>91</v>
      </c>
      <c r="G321" s="19" t="s">
        <v>62</v>
      </c>
      <c r="H321" s="18">
        <v>9.1999999999999993</v>
      </c>
      <c r="I321" s="17" t="s">
        <v>129</v>
      </c>
      <c r="J321" s="17" t="s">
        <v>128</v>
      </c>
      <c r="K321" s="17"/>
      <c r="L321" s="17"/>
      <c r="M321" s="16" t="str">
        <f>HYPERLINK("http://slimages.macys.com/is/image/MCY/17966702 ")</f>
        <v xml:space="preserve">http://slimages.macys.com/is/image/MCY/17966702 </v>
      </c>
      <c r="N321" s="30"/>
    </row>
    <row r="322" spans="1:14" ht="60" x14ac:dyDescent="0.25">
      <c r="A322" s="19" t="s">
        <v>5587</v>
      </c>
      <c r="B322" s="17" t="s">
        <v>5586</v>
      </c>
      <c r="C322" s="20">
        <v>1</v>
      </c>
      <c r="D322" s="18">
        <v>48</v>
      </c>
      <c r="E322" s="20" t="s">
        <v>5585</v>
      </c>
      <c r="F322" s="17" t="s">
        <v>390</v>
      </c>
      <c r="G322" s="19" t="s">
        <v>197</v>
      </c>
      <c r="H322" s="18">
        <v>8.9600000000000009</v>
      </c>
      <c r="I322" s="17" t="s">
        <v>80</v>
      </c>
      <c r="J322" s="17" t="s">
        <v>183</v>
      </c>
      <c r="K322" s="17"/>
      <c r="L322" s="17"/>
      <c r="M322" s="16" t="str">
        <f>HYPERLINK("http://slimages.macys.com/is/image/MCY/18939133 ")</f>
        <v xml:space="preserve">http://slimages.macys.com/is/image/MCY/18939133 </v>
      </c>
      <c r="N322" s="30"/>
    </row>
    <row r="323" spans="1:14" ht="60" x14ac:dyDescent="0.25">
      <c r="A323" s="19" t="s">
        <v>3357</v>
      </c>
      <c r="B323" s="17" t="s">
        <v>3356</v>
      </c>
      <c r="C323" s="20">
        <v>1</v>
      </c>
      <c r="D323" s="18">
        <v>34.299999999999997</v>
      </c>
      <c r="E323" s="20" t="s">
        <v>2564</v>
      </c>
      <c r="F323" s="17" t="s">
        <v>63</v>
      </c>
      <c r="G323" s="19" t="s">
        <v>197</v>
      </c>
      <c r="H323" s="18">
        <v>8.9466666666666672</v>
      </c>
      <c r="I323" s="17" t="s">
        <v>42</v>
      </c>
      <c r="J323" s="17" t="s">
        <v>41</v>
      </c>
      <c r="K323" s="17"/>
      <c r="L323" s="17"/>
      <c r="M323" s="16" t="str">
        <f>HYPERLINK("http://slimages.macys.com/is/image/MCY/18545282 ")</f>
        <v xml:space="preserve">http://slimages.macys.com/is/image/MCY/18545282 </v>
      </c>
      <c r="N323" s="30"/>
    </row>
    <row r="324" spans="1:14" ht="60" x14ac:dyDescent="0.25">
      <c r="A324" s="19" t="s">
        <v>5584</v>
      </c>
      <c r="B324" s="17" t="s">
        <v>5583</v>
      </c>
      <c r="C324" s="20">
        <v>1</v>
      </c>
      <c r="D324" s="18">
        <v>34.299999999999997</v>
      </c>
      <c r="E324" s="20" t="s">
        <v>5582</v>
      </c>
      <c r="F324" s="17" t="s">
        <v>23</v>
      </c>
      <c r="G324" s="19" t="s">
        <v>197</v>
      </c>
      <c r="H324" s="18">
        <v>8.9466666666666672</v>
      </c>
      <c r="I324" s="17" t="s">
        <v>42</v>
      </c>
      <c r="J324" s="17" t="s">
        <v>41</v>
      </c>
      <c r="K324" s="17"/>
      <c r="L324" s="17"/>
      <c r="M324" s="16" t="str">
        <f>HYPERLINK("http://slimages.macys.com/is/image/MCY/18577979 ")</f>
        <v xml:space="preserve">http://slimages.macys.com/is/image/MCY/18577979 </v>
      </c>
      <c r="N324" s="30"/>
    </row>
    <row r="325" spans="1:14" ht="60" x14ac:dyDescent="0.25">
      <c r="A325" s="19" t="s">
        <v>5581</v>
      </c>
      <c r="B325" s="17" t="s">
        <v>5580</v>
      </c>
      <c r="C325" s="20">
        <v>1</v>
      </c>
      <c r="D325" s="18">
        <v>38</v>
      </c>
      <c r="E325" s="20" t="s">
        <v>3353</v>
      </c>
      <c r="F325" s="17" t="s">
        <v>164</v>
      </c>
      <c r="G325" s="19" t="s">
        <v>69</v>
      </c>
      <c r="H325" s="18">
        <v>8.8666666666666671</v>
      </c>
      <c r="I325" s="17" t="s">
        <v>80</v>
      </c>
      <c r="J325" s="17" t="s">
        <v>79</v>
      </c>
      <c r="K325" s="17"/>
      <c r="L325" s="17"/>
      <c r="M325" s="16" t="str">
        <f>HYPERLINK("http://slimages.macys.com/is/image/MCY/18593618 ")</f>
        <v xml:space="preserve">http://slimages.macys.com/is/image/MCY/18593618 </v>
      </c>
      <c r="N325" s="30"/>
    </row>
    <row r="326" spans="1:14" ht="60" x14ac:dyDescent="0.25">
      <c r="A326" s="19" t="s">
        <v>5579</v>
      </c>
      <c r="B326" s="17" t="s">
        <v>5578</v>
      </c>
      <c r="C326" s="20">
        <v>1</v>
      </c>
      <c r="D326" s="18">
        <v>35</v>
      </c>
      <c r="E326" s="20" t="s">
        <v>5573</v>
      </c>
      <c r="F326" s="17" t="s">
        <v>23</v>
      </c>
      <c r="G326" s="19" t="s">
        <v>50</v>
      </c>
      <c r="H326" s="18">
        <v>8.6933333333333334</v>
      </c>
      <c r="I326" s="17" t="s">
        <v>16</v>
      </c>
      <c r="J326" s="17" t="s">
        <v>15</v>
      </c>
      <c r="K326" s="17"/>
      <c r="L326" s="17"/>
      <c r="M326" s="16" t="str">
        <f>HYPERLINK("http://slimages.macys.com/is/image/MCY/20085806 ")</f>
        <v xml:space="preserve">http://slimages.macys.com/is/image/MCY/20085806 </v>
      </c>
      <c r="N326" s="30"/>
    </row>
    <row r="327" spans="1:14" ht="60" x14ac:dyDescent="0.25">
      <c r="A327" s="19" t="s">
        <v>5577</v>
      </c>
      <c r="B327" s="17" t="s">
        <v>5576</v>
      </c>
      <c r="C327" s="20">
        <v>1</v>
      </c>
      <c r="D327" s="18">
        <v>35</v>
      </c>
      <c r="E327" s="20" t="s">
        <v>5573</v>
      </c>
      <c r="F327" s="17" t="s">
        <v>23</v>
      </c>
      <c r="G327" s="19" t="s">
        <v>62</v>
      </c>
      <c r="H327" s="18">
        <v>8.6933333333333334</v>
      </c>
      <c r="I327" s="17" t="s">
        <v>16</v>
      </c>
      <c r="J327" s="17" t="s">
        <v>15</v>
      </c>
      <c r="K327" s="17"/>
      <c r="L327" s="17"/>
      <c r="M327" s="16" t="str">
        <f>HYPERLINK("http://slimages.macys.com/is/image/MCY/20085806 ")</f>
        <v xml:space="preserve">http://slimages.macys.com/is/image/MCY/20085806 </v>
      </c>
      <c r="N327" s="30"/>
    </row>
    <row r="328" spans="1:14" ht="60" x14ac:dyDescent="0.25">
      <c r="A328" s="19" t="s">
        <v>5575</v>
      </c>
      <c r="B328" s="17" t="s">
        <v>5574</v>
      </c>
      <c r="C328" s="20">
        <v>1</v>
      </c>
      <c r="D328" s="18">
        <v>35</v>
      </c>
      <c r="E328" s="20" t="s">
        <v>5573</v>
      </c>
      <c r="F328" s="17" t="s">
        <v>23</v>
      </c>
      <c r="G328" s="19" t="s">
        <v>27</v>
      </c>
      <c r="H328" s="18">
        <v>8.6933333333333334</v>
      </c>
      <c r="I328" s="17" t="s">
        <v>16</v>
      </c>
      <c r="J328" s="17" t="s">
        <v>15</v>
      </c>
      <c r="K328" s="17"/>
      <c r="L328" s="17"/>
      <c r="M328" s="16" t="str">
        <f>HYPERLINK("http://slimages.macys.com/is/image/MCY/20085806 ")</f>
        <v xml:space="preserve">http://slimages.macys.com/is/image/MCY/20085806 </v>
      </c>
      <c r="N328" s="30"/>
    </row>
    <row r="329" spans="1:14" ht="60" x14ac:dyDescent="0.25">
      <c r="A329" s="19" t="s">
        <v>5572</v>
      </c>
      <c r="B329" s="17" t="s">
        <v>5571</v>
      </c>
      <c r="C329" s="20">
        <v>6</v>
      </c>
      <c r="D329" s="18">
        <v>35</v>
      </c>
      <c r="E329" s="20" t="s">
        <v>5568</v>
      </c>
      <c r="F329" s="17" t="s">
        <v>1526</v>
      </c>
      <c r="G329" s="19" t="s">
        <v>17</v>
      </c>
      <c r="H329" s="18">
        <v>8.6933333333333334</v>
      </c>
      <c r="I329" s="17" t="s">
        <v>16</v>
      </c>
      <c r="J329" s="17" t="s">
        <v>15</v>
      </c>
      <c r="K329" s="17"/>
      <c r="L329" s="17"/>
      <c r="M329" s="16" t="str">
        <f>HYPERLINK("http://slimages.macys.com/is/image/MCY/19060615 ")</f>
        <v xml:space="preserve">http://slimages.macys.com/is/image/MCY/19060615 </v>
      </c>
      <c r="N329" s="30"/>
    </row>
    <row r="330" spans="1:14" ht="60" x14ac:dyDescent="0.25">
      <c r="A330" s="19" t="s">
        <v>5570</v>
      </c>
      <c r="B330" s="17" t="s">
        <v>5569</v>
      </c>
      <c r="C330" s="20">
        <v>1</v>
      </c>
      <c r="D330" s="18">
        <v>35</v>
      </c>
      <c r="E330" s="20" t="s">
        <v>5568</v>
      </c>
      <c r="F330" s="17" t="s">
        <v>764</v>
      </c>
      <c r="G330" s="19" t="s">
        <v>22</v>
      </c>
      <c r="H330" s="18">
        <v>8.6866666666666674</v>
      </c>
      <c r="I330" s="17" t="s">
        <v>16</v>
      </c>
      <c r="J330" s="17" t="s">
        <v>15</v>
      </c>
      <c r="K330" s="17"/>
      <c r="L330" s="17"/>
      <c r="M330" s="16" t="str">
        <f>HYPERLINK("http://slimages.macys.com/is/image/MCY/19060615 ")</f>
        <v xml:space="preserve">http://slimages.macys.com/is/image/MCY/19060615 </v>
      </c>
      <c r="N330" s="30"/>
    </row>
    <row r="331" spans="1:14" ht="60" x14ac:dyDescent="0.25">
      <c r="A331" s="19" t="s">
        <v>5567</v>
      </c>
      <c r="B331" s="17" t="s">
        <v>5566</v>
      </c>
      <c r="C331" s="20">
        <v>1</v>
      </c>
      <c r="D331" s="18">
        <v>39</v>
      </c>
      <c r="E331" s="20" t="s">
        <v>5565</v>
      </c>
      <c r="F331" s="17" t="s">
        <v>282</v>
      </c>
      <c r="G331" s="19" t="s">
        <v>17</v>
      </c>
      <c r="H331" s="18">
        <v>8.6066666666666674</v>
      </c>
      <c r="I331" s="17" t="s">
        <v>49</v>
      </c>
      <c r="J331" s="17" t="s">
        <v>48</v>
      </c>
      <c r="K331" s="17"/>
      <c r="L331" s="17"/>
      <c r="M331" s="16" t="str">
        <f>HYPERLINK("http://slimages.macys.com/is/image/MCY/19194063 ")</f>
        <v xml:space="preserve">http://slimages.macys.com/is/image/MCY/19194063 </v>
      </c>
      <c r="N331" s="30"/>
    </row>
    <row r="332" spans="1:14" ht="60" x14ac:dyDescent="0.25">
      <c r="A332" s="19" t="s">
        <v>5564</v>
      </c>
      <c r="B332" s="17" t="s">
        <v>5563</v>
      </c>
      <c r="C332" s="20">
        <v>4</v>
      </c>
      <c r="D332" s="18">
        <v>39</v>
      </c>
      <c r="E332" s="20" t="s">
        <v>5562</v>
      </c>
      <c r="F332" s="17" t="s">
        <v>282</v>
      </c>
      <c r="G332" s="19" t="s">
        <v>22</v>
      </c>
      <c r="H332" s="18">
        <v>8.6066666666666674</v>
      </c>
      <c r="I332" s="17" t="s">
        <v>49</v>
      </c>
      <c r="J332" s="17" t="s">
        <v>48</v>
      </c>
      <c r="K332" s="17"/>
      <c r="L332" s="17"/>
      <c r="M332" s="16" t="str">
        <f>HYPERLINK("http://slimages.macys.com/is/image/MCY/18774728 ")</f>
        <v xml:space="preserve">http://slimages.macys.com/is/image/MCY/18774728 </v>
      </c>
      <c r="N332" s="30"/>
    </row>
    <row r="333" spans="1:14" ht="60" x14ac:dyDescent="0.25">
      <c r="A333" s="19" t="s">
        <v>5561</v>
      </c>
      <c r="B333" s="17" t="s">
        <v>5560</v>
      </c>
      <c r="C333" s="20">
        <v>1</v>
      </c>
      <c r="D333" s="18">
        <v>39</v>
      </c>
      <c r="E333" s="20" t="s">
        <v>5559</v>
      </c>
      <c r="F333" s="17" t="s">
        <v>413</v>
      </c>
      <c r="G333" s="19" t="s">
        <v>101</v>
      </c>
      <c r="H333" s="18">
        <v>8.6066666666666674</v>
      </c>
      <c r="I333" s="17" t="s">
        <v>49</v>
      </c>
      <c r="J333" s="17" t="s">
        <v>48</v>
      </c>
      <c r="K333" s="17"/>
      <c r="L333" s="17"/>
      <c r="M333" s="16" t="str">
        <f>HYPERLINK("http://slimages.macys.com/is/image/MCY/18071540 ")</f>
        <v xml:space="preserve">http://slimages.macys.com/is/image/MCY/18071540 </v>
      </c>
      <c r="N333" s="30"/>
    </row>
    <row r="334" spans="1:14" ht="60" x14ac:dyDescent="0.25">
      <c r="A334" s="19" t="s">
        <v>5558</v>
      </c>
      <c r="B334" s="17" t="s">
        <v>5557</v>
      </c>
      <c r="C334" s="20">
        <v>1</v>
      </c>
      <c r="D334" s="18">
        <v>39</v>
      </c>
      <c r="E334" s="20" t="s">
        <v>5556</v>
      </c>
      <c r="F334" s="17" t="s">
        <v>23</v>
      </c>
      <c r="G334" s="19" t="s">
        <v>17</v>
      </c>
      <c r="H334" s="18">
        <v>8.6066666666666674</v>
      </c>
      <c r="I334" s="17" t="s">
        <v>49</v>
      </c>
      <c r="J334" s="17" t="s">
        <v>48</v>
      </c>
      <c r="K334" s="17"/>
      <c r="L334" s="17"/>
      <c r="M334" s="16" t="str">
        <f>HYPERLINK("http://slimages.macys.com/is/image/MCY/18749571 ")</f>
        <v xml:space="preserve">http://slimages.macys.com/is/image/MCY/18749571 </v>
      </c>
      <c r="N334" s="30"/>
    </row>
    <row r="335" spans="1:14" ht="60" x14ac:dyDescent="0.25">
      <c r="A335" s="19" t="s">
        <v>5555</v>
      </c>
      <c r="B335" s="17" t="s">
        <v>5554</v>
      </c>
      <c r="C335" s="20">
        <v>1</v>
      </c>
      <c r="D335" s="18">
        <v>39</v>
      </c>
      <c r="E335" s="20" t="s">
        <v>254</v>
      </c>
      <c r="F335" s="17" t="s">
        <v>3876</v>
      </c>
      <c r="G335" s="19"/>
      <c r="H335" s="18">
        <v>8.6066666666666674</v>
      </c>
      <c r="I335" s="17" t="s">
        <v>49</v>
      </c>
      <c r="J335" s="17" t="s">
        <v>48</v>
      </c>
      <c r="K335" s="17"/>
      <c r="L335" s="17"/>
      <c r="M335" s="16" t="str">
        <f>HYPERLINK("http://slimages.macys.com/is/image/MCY/19191577 ")</f>
        <v xml:space="preserve">http://slimages.macys.com/is/image/MCY/19191577 </v>
      </c>
      <c r="N335" s="30"/>
    </row>
    <row r="336" spans="1:14" ht="60" x14ac:dyDescent="0.25">
      <c r="A336" s="19" t="s">
        <v>5553</v>
      </c>
      <c r="B336" s="17" t="s">
        <v>5552</v>
      </c>
      <c r="C336" s="20">
        <v>1</v>
      </c>
      <c r="D336" s="18">
        <v>46</v>
      </c>
      <c r="E336" s="20" t="s">
        <v>5551</v>
      </c>
      <c r="F336" s="17" t="s">
        <v>345</v>
      </c>
      <c r="G336" s="19" t="s">
        <v>57</v>
      </c>
      <c r="H336" s="18">
        <v>8.5866666666666678</v>
      </c>
      <c r="I336" s="17" t="s">
        <v>80</v>
      </c>
      <c r="J336" s="17" t="s">
        <v>183</v>
      </c>
      <c r="K336" s="17"/>
      <c r="L336" s="17"/>
      <c r="M336" s="16" t="str">
        <f>HYPERLINK("http://slimages.macys.com/is/image/MCY/19305448 ")</f>
        <v xml:space="preserve">http://slimages.macys.com/is/image/MCY/19305448 </v>
      </c>
      <c r="N336" s="30"/>
    </row>
    <row r="337" spans="1:14" ht="60" x14ac:dyDescent="0.25">
      <c r="A337" s="19" t="s">
        <v>5550</v>
      </c>
      <c r="B337" s="17" t="s">
        <v>5549</v>
      </c>
      <c r="C337" s="20">
        <v>1</v>
      </c>
      <c r="D337" s="18">
        <v>31.5</v>
      </c>
      <c r="E337" s="20" t="s">
        <v>2556</v>
      </c>
      <c r="F337" s="17" t="s">
        <v>23</v>
      </c>
      <c r="G337" s="19" t="s">
        <v>197</v>
      </c>
      <c r="H337" s="18">
        <v>8.2200000000000006</v>
      </c>
      <c r="I337" s="17" t="s">
        <v>42</v>
      </c>
      <c r="J337" s="17" t="s">
        <v>41</v>
      </c>
      <c r="K337" s="17"/>
      <c r="L337" s="17"/>
      <c r="M337" s="16" t="str">
        <f>HYPERLINK("http://slimages.macys.com/is/image/MCY/18757242 ")</f>
        <v xml:space="preserve">http://slimages.macys.com/is/image/MCY/18757242 </v>
      </c>
      <c r="N337" s="30"/>
    </row>
    <row r="338" spans="1:14" ht="60" x14ac:dyDescent="0.25">
      <c r="A338" s="19" t="s">
        <v>1775</v>
      </c>
      <c r="B338" s="17" t="s">
        <v>1774</v>
      </c>
      <c r="C338" s="20">
        <v>1</v>
      </c>
      <c r="D338" s="18">
        <v>44</v>
      </c>
      <c r="E338" s="20" t="s">
        <v>1773</v>
      </c>
      <c r="F338" s="17" t="s">
        <v>58</v>
      </c>
      <c r="G338" s="19" t="s">
        <v>197</v>
      </c>
      <c r="H338" s="18">
        <v>8.2133333333333329</v>
      </c>
      <c r="I338" s="17" t="s">
        <v>80</v>
      </c>
      <c r="J338" s="17" t="s">
        <v>183</v>
      </c>
      <c r="K338" s="17"/>
      <c r="L338" s="17"/>
      <c r="M338" s="16" t="str">
        <f>HYPERLINK("http://slimages.macys.com/is/image/MCY/19735596 ")</f>
        <v xml:space="preserve">http://slimages.macys.com/is/image/MCY/19735596 </v>
      </c>
      <c r="N338" s="30"/>
    </row>
    <row r="339" spans="1:14" ht="60" x14ac:dyDescent="0.25">
      <c r="A339" s="19" t="s">
        <v>5548</v>
      </c>
      <c r="B339" s="17" t="s">
        <v>5547</v>
      </c>
      <c r="C339" s="20">
        <v>1</v>
      </c>
      <c r="D339" s="18">
        <v>49</v>
      </c>
      <c r="E339" s="20" t="s">
        <v>4228</v>
      </c>
      <c r="F339" s="17" t="s">
        <v>508</v>
      </c>
      <c r="G339" s="19" t="s">
        <v>101</v>
      </c>
      <c r="H339" s="18">
        <v>8.1666666666666679</v>
      </c>
      <c r="I339" s="17" t="s">
        <v>129</v>
      </c>
      <c r="J339" s="17" t="s">
        <v>128</v>
      </c>
      <c r="K339" s="17"/>
      <c r="L339" s="17"/>
      <c r="M339" s="16" t="str">
        <f>HYPERLINK("http://slimages.macys.com/is/image/MCY/19146415 ")</f>
        <v xml:space="preserve">http://slimages.macys.com/is/image/MCY/19146415 </v>
      </c>
      <c r="N339" s="30"/>
    </row>
    <row r="340" spans="1:14" ht="60" x14ac:dyDescent="0.25">
      <c r="A340" s="19" t="s">
        <v>5546</v>
      </c>
      <c r="B340" s="17" t="s">
        <v>5545</v>
      </c>
      <c r="C340" s="20">
        <v>1</v>
      </c>
      <c r="D340" s="18">
        <v>49</v>
      </c>
      <c r="E340" s="20">
        <v>8151600</v>
      </c>
      <c r="F340" s="17" t="s">
        <v>508</v>
      </c>
      <c r="G340" s="19" t="s">
        <v>62</v>
      </c>
      <c r="H340" s="18">
        <v>8.1666666666666679</v>
      </c>
      <c r="I340" s="17" t="s">
        <v>129</v>
      </c>
      <c r="J340" s="17" t="s">
        <v>128</v>
      </c>
      <c r="K340" s="17"/>
      <c r="L340" s="17"/>
      <c r="M340" s="16" t="str">
        <f>HYPERLINK("http://slimages.macys.com/is/image/MCY/19706214 ")</f>
        <v xml:space="preserve">http://slimages.macys.com/is/image/MCY/19706214 </v>
      </c>
      <c r="N340" s="30"/>
    </row>
    <row r="341" spans="1:14" ht="60" x14ac:dyDescent="0.25">
      <c r="A341" s="19" t="s">
        <v>5544</v>
      </c>
      <c r="B341" s="17" t="s">
        <v>5543</v>
      </c>
      <c r="C341" s="20">
        <v>1</v>
      </c>
      <c r="D341" s="18">
        <v>49</v>
      </c>
      <c r="E341" s="20">
        <v>7030642</v>
      </c>
      <c r="F341" s="17" t="s">
        <v>149</v>
      </c>
      <c r="G341" s="19" t="s">
        <v>17</v>
      </c>
      <c r="H341" s="18">
        <v>8.1666666666666679</v>
      </c>
      <c r="I341" s="17" t="s">
        <v>111</v>
      </c>
      <c r="J341" s="17" t="s">
        <v>110</v>
      </c>
      <c r="K341" s="17"/>
      <c r="L341" s="17"/>
      <c r="M341" s="16" t="str">
        <f>HYPERLINK("http://slimages.macys.com/is/image/MCY/19457925 ")</f>
        <v xml:space="preserve">http://slimages.macys.com/is/image/MCY/19457925 </v>
      </c>
      <c r="N341" s="30"/>
    </row>
    <row r="342" spans="1:14" ht="60" x14ac:dyDescent="0.25">
      <c r="A342" s="19" t="s">
        <v>240</v>
      </c>
      <c r="B342" s="17" t="s">
        <v>239</v>
      </c>
      <c r="C342" s="20">
        <v>1</v>
      </c>
      <c r="D342" s="18">
        <v>29.99</v>
      </c>
      <c r="E342" s="20" t="s">
        <v>238</v>
      </c>
      <c r="F342" s="17" t="s">
        <v>237</v>
      </c>
      <c r="G342" s="19" t="s">
        <v>69</v>
      </c>
      <c r="H342" s="18">
        <v>8</v>
      </c>
      <c r="I342" s="17" t="s">
        <v>68</v>
      </c>
      <c r="J342" s="17" t="s">
        <v>67</v>
      </c>
      <c r="K342" s="17"/>
      <c r="L342" s="17"/>
      <c r="M342" s="16" t="str">
        <f>HYPERLINK("http://slimages.macys.com/is/image/MCY/17899241 ")</f>
        <v xml:space="preserve">http://slimages.macys.com/is/image/MCY/17899241 </v>
      </c>
      <c r="N342" s="30"/>
    </row>
    <row r="343" spans="1:14" ht="60" x14ac:dyDescent="0.25">
      <c r="A343" s="19" t="s">
        <v>5542</v>
      </c>
      <c r="B343" s="17" t="s">
        <v>5541</v>
      </c>
      <c r="C343" s="20">
        <v>1</v>
      </c>
      <c r="D343" s="18">
        <v>49</v>
      </c>
      <c r="E343" s="20" t="s">
        <v>5540</v>
      </c>
      <c r="F343" s="17" t="s">
        <v>51</v>
      </c>
      <c r="G343" s="19" t="s">
        <v>74</v>
      </c>
      <c r="H343" s="18">
        <v>7.9666666666666677</v>
      </c>
      <c r="I343" s="17" t="s">
        <v>4609</v>
      </c>
      <c r="J343" s="17" t="s">
        <v>4608</v>
      </c>
      <c r="K343" s="17"/>
      <c r="L343" s="17"/>
      <c r="M343" s="16" t="str">
        <f>HYPERLINK("http://slimages.macys.com/is/image/MCY/18102804 ")</f>
        <v xml:space="preserve">http://slimages.macys.com/is/image/MCY/18102804 </v>
      </c>
      <c r="N343" s="30"/>
    </row>
    <row r="344" spans="1:14" ht="60" x14ac:dyDescent="0.25">
      <c r="A344" s="19" t="s">
        <v>1034</v>
      </c>
      <c r="B344" s="17" t="s">
        <v>1033</v>
      </c>
      <c r="C344" s="20">
        <v>5</v>
      </c>
      <c r="D344" s="18">
        <v>30</v>
      </c>
      <c r="E344" s="20" t="s">
        <v>1032</v>
      </c>
      <c r="F344" s="17" t="s">
        <v>51</v>
      </c>
      <c r="G344" s="19" t="s">
        <v>22</v>
      </c>
      <c r="H344" s="18">
        <v>7.8666666666666663</v>
      </c>
      <c r="I344" s="17" t="s">
        <v>16</v>
      </c>
      <c r="J344" s="17" t="s">
        <v>15</v>
      </c>
      <c r="K344" s="17"/>
      <c r="L344" s="17"/>
      <c r="M344" s="16" t="str">
        <f>HYPERLINK("http://slimages.macys.com/is/image/MCY/19382853 ")</f>
        <v xml:space="preserve">http://slimages.macys.com/is/image/MCY/19382853 </v>
      </c>
      <c r="N344" s="30"/>
    </row>
    <row r="345" spans="1:14" ht="84" x14ac:dyDescent="0.25">
      <c r="A345" s="19" t="s">
        <v>1038</v>
      </c>
      <c r="B345" s="17" t="s">
        <v>1037</v>
      </c>
      <c r="C345" s="20">
        <v>1</v>
      </c>
      <c r="D345" s="18">
        <v>30</v>
      </c>
      <c r="E345" s="20" t="s">
        <v>1029</v>
      </c>
      <c r="F345" s="17" t="s">
        <v>51</v>
      </c>
      <c r="G345" s="19" t="s">
        <v>22</v>
      </c>
      <c r="H345" s="18">
        <v>7.8666666666666663</v>
      </c>
      <c r="I345" s="17" t="s">
        <v>16</v>
      </c>
      <c r="J345" s="17" t="s">
        <v>15</v>
      </c>
      <c r="K345" s="17" t="s">
        <v>389</v>
      </c>
      <c r="L345" s="17" t="s">
        <v>1028</v>
      </c>
      <c r="M345" s="16" t="str">
        <f>HYPERLINK("http://slimages.macys.com/is/image/MCY/9343963 ")</f>
        <v xml:space="preserve">http://slimages.macys.com/is/image/MCY/9343963 </v>
      </c>
      <c r="N345" s="30"/>
    </row>
    <row r="346" spans="1:14" ht="60" x14ac:dyDescent="0.25">
      <c r="A346" s="19" t="s">
        <v>5539</v>
      </c>
      <c r="B346" s="17" t="s">
        <v>5538</v>
      </c>
      <c r="C346" s="20">
        <v>1</v>
      </c>
      <c r="D346" s="18">
        <v>42</v>
      </c>
      <c r="E346" s="20" t="s">
        <v>5537</v>
      </c>
      <c r="F346" s="17" t="s">
        <v>23</v>
      </c>
      <c r="G346" s="19" t="s">
        <v>57</v>
      </c>
      <c r="H346" s="18">
        <v>7.84</v>
      </c>
      <c r="I346" s="17" t="s">
        <v>80</v>
      </c>
      <c r="J346" s="17" t="s">
        <v>183</v>
      </c>
      <c r="K346" s="17"/>
      <c r="L346" s="17"/>
      <c r="M346" s="16" t="str">
        <f>HYPERLINK("http://slimages.macys.com/is/image/MCY/19784303 ")</f>
        <v xml:space="preserve">http://slimages.macys.com/is/image/MCY/19784303 </v>
      </c>
      <c r="N346" s="30"/>
    </row>
    <row r="347" spans="1:14" ht="60" x14ac:dyDescent="0.25">
      <c r="A347" s="19" t="s">
        <v>5536</v>
      </c>
      <c r="B347" s="17" t="s">
        <v>5535</v>
      </c>
      <c r="C347" s="20">
        <v>1</v>
      </c>
      <c r="D347" s="18">
        <v>45</v>
      </c>
      <c r="E347" s="20" t="s">
        <v>5534</v>
      </c>
      <c r="F347" s="17" t="s">
        <v>85</v>
      </c>
      <c r="G347" s="19" t="s">
        <v>50</v>
      </c>
      <c r="H347" s="18">
        <v>7.7866666666666662</v>
      </c>
      <c r="I347" s="17" t="s">
        <v>16</v>
      </c>
      <c r="J347" s="17" t="s">
        <v>15</v>
      </c>
      <c r="K347" s="17" t="s">
        <v>389</v>
      </c>
      <c r="L347" s="17" t="s">
        <v>4353</v>
      </c>
      <c r="M347" s="16" t="str">
        <f>HYPERLINK("http://slimages.macys.com/is/image/MCY/17842498 ")</f>
        <v xml:space="preserve">http://slimages.macys.com/is/image/MCY/17842498 </v>
      </c>
      <c r="N347" s="30"/>
    </row>
    <row r="348" spans="1:14" ht="60" x14ac:dyDescent="0.25">
      <c r="A348" s="19" t="s">
        <v>5533</v>
      </c>
      <c r="B348" s="17" t="s">
        <v>5532</v>
      </c>
      <c r="C348" s="20">
        <v>8</v>
      </c>
      <c r="D348" s="18">
        <v>30</v>
      </c>
      <c r="E348" s="20" t="s">
        <v>226</v>
      </c>
      <c r="F348" s="17" t="s">
        <v>23</v>
      </c>
      <c r="G348" s="19" t="s">
        <v>27</v>
      </c>
      <c r="H348" s="18">
        <v>7.5533333333333337</v>
      </c>
      <c r="I348" s="17" t="s">
        <v>16</v>
      </c>
      <c r="J348" s="17" t="s">
        <v>15</v>
      </c>
      <c r="K348" s="17"/>
      <c r="L348" s="17"/>
      <c r="M348" s="16" t="str">
        <f>HYPERLINK("http://slimages.macys.com/is/image/MCY/19060580 ")</f>
        <v xml:space="preserve">http://slimages.macys.com/is/image/MCY/19060580 </v>
      </c>
      <c r="N348" s="30"/>
    </row>
    <row r="349" spans="1:14" ht="60" x14ac:dyDescent="0.25">
      <c r="A349" s="19" t="s">
        <v>5531</v>
      </c>
      <c r="B349" s="17" t="s">
        <v>5530</v>
      </c>
      <c r="C349" s="20">
        <v>6</v>
      </c>
      <c r="D349" s="18">
        <v>30</v>
      </c>
      <c r="E349" s="20" t="s">
        <v>1746</v>
      </c>
      <c r="F349" s="17" t="s">
        <v>282</v>
      </c>
      <c r="G349" s="19" t="s">
        <v>62</v>
      </c>
      <c r="H349" s="18">
        <v>7.5533333333333337</v>
      </c>
      <c r="I349" s="17" t="s">
        <v>16</v>
      </c>
      <c r="J349" s="17" t="s">
        <v>15</v>
      </c>
      <c r="K349" s="17"/>
      <c r="L349" s="17"/>
      <c r="M349" s="16" t="str">
        <f>HYPERLINK("http://slimages.macys.com/is/image/MCY/19026246 ")</f>
        <v xml:space="preserve">http://slimages.macys.com/is/image/MCY/19026246 </v>
      </c>
      <c r="N349" s="30"/>
    </row>
    <row r="350" spans="1:14" ht="60" x14ac:dyDescent="0.25">
      <c r="A350" s="19" t="s">
        <v>5529</v>
      </c>
      <c r="B350" s="17" t="s">
        <v>5528</v>
      </c>
      <c r="C350" s="20">
        <v>1</v>
      </c>
      <c r="D350" s="18">
        <v>34</v>
      </c>
      <c r="E350" s="20" t="s">
        <v>5527</v>
      </c>
      <c r="F350" s="17" t="s">
        <v>23</v>
      </c>
      <c r="G350" s="19" t="s">
        <v>50</v>
      </c>
      <c r="H350" s="18">
        <v>7.5</v>
      </c>
      <c r="I350" s="17" t="s">
        <v>49</v>
      </c>
      <c r="J350" s="17" t="s">
        <v>48</v>
      </c>
      <c r="K350" s="17"/>
      <c r="L350" s="17"/>
      <c r="M350" s="16" t="str">
        <f>HYPERLINK("http://slimages.macys.com/is/image/MCY/19635033 ")</f>
        <v xml:space="preserve">http://slimages.macys.com/is/image/MCY/19635033 </v>
      </c>
      <c r="N350" s="30"/>
    </row>
    <row r="351" spans="1:14" ht="60" x14ac:dyDescent="0.25">
      <c r="A351" s="19" t="s">
        <v>5526</v>
      </c>
      <c r="B351" s="17" t="s">
        <v>5525</v>
      </c>
      <c r="C351" s="20">
        <v>1</v>
      </c>
      <c r="D351" s="18">
        <v>34</v>
      </c>
      <c r="E351" s="20" t="s">
        <v>220</v>
      </c>
      <c r="F351" s="17" t="s">
        <v>23</v>
      </c>
      <c r="G351" s="19" t="s">
        <v>50</v>
      </c>
      <c r="H351" s="18">
        <v>7.5</v>
      </c>
      <c r="I351" s="17" t="s">
        <v>49</v>
      </c>
      <c r="J351" s="17" t="s">
        <v>48</v>
      </c>
      <c r="K351" s="17"/>
      <c r="L351" s="17"/>
      <c r="M351" s="16" t="str">
        <f>HYPERLINK("http://slimages.macys.com/is/image/MCY/18535117 ")</f>
        <v xml:space="preserve">http://slimages.macys.com/is/image/MCY/18535117 </v>
      </c>
      <c r="N351" s="30"/>
    </row>
    <row r="352" spans="1:14" ht="60" x14ac:dyDescent="0.25">
      <c r="A352" s="19" t="s">
        <v>5524</v>
      </c>
      <c r="B352" s="17" t="s">
        <v>5523</v>
      </c>
      <c r="C352" s="20">
        <v>1</v>
      </c>
      <c r="D352" s="18">
        <v>34</v>
      </c>
      <c r="E352" s="20" t="s">
        <v>5522</v>
      </c>
      <c r="F352" s="17" t="s">
        <v>23</v>
      </c>
      <c r="G352" s="19" t="s">
        <v>62</v>
      </c>
      <c r="H352" s="18">
        <v>7.5</v>
      </c>
      <c r="I352" s="17" t="s">
        <v>49</v>
      </c>
      <c r="J352" s="17" t="s">
        <v>48</v>
      </c>
      <c r="K352" s="17"/>
      <c r="L352" s="17"/>
      <c r="M352" s="16" t="str">
        <f>HYPERLINK("http://slimages.macys.com/is/image/MCY/18510391 ")</f>
        <v xml:space="preserve">http://slimages.macys.com/is/image/MCY/18510391 </v>
      </c>
      <c r="N352" s="30"/>
    </row>
    <row r="353" spans="1:14" ht="60" x14ac:dyDescent="0.25">
      <c r="A353" s="19" t="s">
        <v>5521</v>
      </c>
      <c r="B353" s="17" t="s">
        <v>5520</v>
      </c>
      <c r="C353" s="20">
        <v>1</v>
      </c>
      <c r="D353" s="18">
        <v>39.5</v>
      </c>
      <c r="E353" s="20" t="s">
        <v>5519</v>
      </c>
      <c r="F353" s="17" t="s">
        <v>28</v>
      </c>
      <c r="G353" s="19" t="s">
        <v>62</v>
      </c>
      <c r="H353" s="18">
        <v>7.4400000000000013</v>
      </c>
      <c r="I353" s="17" t="s">
        <v>68</v>
      </c>
      <c r="J353" s="17" t="s">
        <v>67</v>
      </c>
      <c r="K353" s="17"/>
      <c r="L353" s="17"/>
      <c r="M353" s="16" t="str">
        <f>HYPERLINK("http://slimages.macys.com/is/image/MCY/18864439 ")</f>
        <v xml:space="preserve">http://slimages.macys.com/is/image/MCY/18864439 </v>
      </c>
      <c r="N353" s="30"/>
    </row>
    <row r="354" spans="1:14" ht="60" x14ac:dyDescent="0.25">
      <c r="A354" s="19" t="s">
        <v>1721</v>
      </c>
      <c r="B354" s="17" t="s">
        <v>1720</v>
      </c>
      <c r="C354" s="20">
        <v>1</v>
      </c>
      <c r="D354" s="18">
        <v>39.5</v>
      </c>
      <c r="E354" s="20" t="s">
        <v>213</v>
      </c>
      <c r="F354" s="17" t="s">
        <v>63</v>
      </c>
      <c r="G354" s="19" t="s">
        <v>74</v>
      </c>
      <c r="H354" s="18">
        <v>7.4400000000000013</v>
      </c>
      <c r="I354" s="17" t="s">
        <v>56</v>
      </c>
      <c r="J354" s="17" t="s">
        <v>55</v>
      </c>
      <c r="K354" s="17"/>
      <c r="L354" s="17"/>
      <c r="M354" s="16" t="str">
        <f>HYPERLINK("http://slimages.macys.com/is/image/MCY/19179536 ")</f>
        <v xml:space="preserve">http://slimages.macys.com/is/image/MCY/19179536 </v>
      </c>
      <c r="N354" s="30"/>
    </row>
    <row r="355" spans="1:14" ht="60" x14ac:dyDescent="0.25">
      <c r="A355" s="19" t="s">
        <v>215</v>
      </c>
      <c r="B355" s="17" t="s">
        <v>214</v>
      </c>
      <c r="C355" s="20">
        <v>4</v>
      </c>
      <c r="D355" s="18">
        <v>39.5</v>
      </c>
      <c r="E355" s="20" t="s">
        <v>213</v>
      </c>
      <c r="F355" s="17" t="s">
        <v>63</v>
      </c>
      <c r="G355" s="19" t="s">
        <v>69</v>
      </c>
      <c r="H355" s="18">
        <v>7.4400000000000013</v>
      </c>
      <c r="I355" s="17" t="s">
        <v>56</v>
      </c>
      <c r="J355" s="17" t="s">
        <v>55</v>
      </c>
      <c r="K355" s="17"/>
      <c r="L355" s="17"/>
      <c r="M355" s="16" t="str">
        <f>HYPERLINK("http://slimages.macys.com/is/image/MCY/19179536 ")</f>
        <v xml:space="preserve">http://slimages.macys.com/is/image/MCY/19179536 </v>
      </c>
      <c r="N355" s="30"/>
    </row>
    <row r="356" spans="1:14" ht="60" x14ac:dyDescent="0.25">
      <c r="A356" s="19" t="s">
        <v>5518</v>
      </c>
      <c r="B356" s="17" t="s">
        <v>5517</v>
      </c>
      <c r="C356" s="20">
        <v>1</v>
      </c>
      <c r="D356" s="18">
        <v>39.5</v>
      </c>
      <c r="E356" s="20" t="s">
        <v>4207</v>
      </c>
      <c r="F356" s="17" t="s">
        <v>58</v>
      </c>
      <c r="G356" s="19" t="s">
        <v>197</v>
      </c>
      <c r="H356" s="18">
        <v>7.4400000000000013</v>
      </c>
      <c r="I356" s="17" t="s">
        <v>56</v>
      </c>
      <c r="J356" s="17" t="s">
        <v>55</v>
      </c>
      <c r="K356" s="17"/>
      <c r="L356" s="17"/>
      <c r="M356" s="16" t="str">
        <f>HYPERLINK("http://slimages.macys.com/is/image/MCY/19180119 ")</f>
        <v xml:space="preserve">http://slimages.macys.com/is/image/MCY/19180119 </v>
      </c>
      <c r="N356" s="30"/>
    </row>
    <row r="357" spans="1:14" ht="60" x14ac:dyDescent="0.25">
      <c r="A357" s="19" t="s">
        <v>990</v>
      </c>
      <c r="B357" s="17" t="s">
        <v>989</v>
      </c>
      <c r="C357" s="20">
        <v>1</v>
      </c>
      <c r="D357" s="18">
        <v>39.5</v>
      </c>
      <c r="E357" s="20" t="s">
        <v>213</v>
      </c>
      <c r="F357" s="17" t="s">
        <v>63</v>
      </c>
      <c r="G357" s="19" t="s">
        <v>57</v>
      </c>
      <c r="H357" s="18">
        <v>7.4400000000000013</v>
      </c>
      <c r="I357" s="17" t="s">
        <v>56</v>
      </c>
      <c r="J357" s="17" t="s">
        <v>55</v>
      </c>
      <c r="K357" s="17"/>
      <c r="L357" s="17"/>
      <c r="M357" s="16" t="str">
        <f>HYPERLINK("http://slimages.macys.com/is/image/MCY/19179536 ")</f>
        <v xml:space="preserve">http://slimages.macys.com/is/image/MCY/19179536 </v>
      </c>
      <c r="N357" s="30"/>
    </row>
    <row r="358" spans="1:14" ht="60" x14ac:dyDescent="0.25">
      <c r="A358" s="19" t="s">
        <v>2538</v>
      </c>
      <c r="B358" s="17" t="s">
        <v>2537</v>
      </c>
      <c r="C358" s="20">
        <v>2</v>
      </c>
      <c r="D358" s="18">
        <v>39.5</v>
      </c>
      <c r="E358" s="20" t="s">
        <v>1000</v>
      </c>
      <c r="F358" s="17" t="s">
        <v>91</v>
      </c>
      <c r="G358" s="19" t="s">
        <v>62</v>
      </c>
      <c r="H358" s="18">
        <v>7.4400000000000013</v>
      </c>
      <c r="I358" s="17" t="s">
        <v>56</v>
      </c>
      <c r="J358" s="17" t="s">
        <v>55</v>
      </c>
      <c r="K358" s="17"/>
      <c r="L358" s="17"/>
      <c r="M358" s="16" t="str">
        <f>HYPERLINK("http://slimages.macys.com/is/image/MCY/19394976 ")</f>
        <v xml:space="preserve">http://slimages.macys.com/is/image/MCY/19394976 </v>
      </c>
      <c r="N358" s="30"/>
    </row>
    <row r="359" spans="1:14" ht="60" x14ac:dyDescent="0.25">
      <c r="A359" s="19" t="s">
        <v>5516</v>
      </c>
      <c r="B359" s="17" t="s">
        <v>5515</v>
      </c>
      <c r="C359" s="20">
        <v>1</v>
      </c>
      <c r="D359" s="18">
        <v>39.5</v>
      </c>
      <c r="E359" s="20" t="s">
        <v>5514</v>
      </c>
      <c r="F359" s="17" t="s">
        <v>58</v>
      </c>
      <c r="G359" s="19" t="s">
        <v>57</v>
      </c>
      <c r="H359" s="18">
        <v>7.4400000000000013</v>
      </c>
      <c r="I359" s="17" t="s">
        <v>56</v>
      </c>
      <c r="J359" s="17" t="s">
        <v>55</v>
      </c>
      <c r="K359" s="17"/>
      <c r="L359" s="17"/>
      <c r="M359" s="16" t="str">
        <f>HYPERLINK("http://slimages.macys.com/is/image/MCY/18915734 ")</f>
        <v xml:space="preserve">http://slimages.macys.com/is/image/MCY/18915734 </v>
      </c>
      <c r="N359" s="30"/>
    </row>
    <row r="360" spans="1:14" ht="60" x14ac:dyDescent="0.25">
      <c r="A360" s="19" t="s">
        <v>5513</v>
      </c>
      <c r="B360" s="17" t="s">
        <v>5512</v>
      </c>
      <c r="C360" s="20">
        <v>1</v>
      </c>
      <c r="D360" s="18">
        <v>39.5</v>
      </c>
      <c r="E360" s="20" t="s">
        <v>4207</v>
      </c>
      <c r="F360" s="17" t="s">
        <v>58</v>
      </c>
      <c r="G360" s="19" t="s">
        <v>57</v>
      </c>
      <c r="H360" s="18">
        <v>7.4400000000000013</v>
      </c>
      <c r="I360" s="17" t="s">
        <v>56</v>
      </c>
      <c r="J360" s="17" t="s">
        <v>55</v>
      </c>
      <c r="K360" s="17"/>
      <c r="L360" s="17"/>
      <c r="M360" s="16" t="str">
        <f>HYPERLINK("http://slimages.macys.com/is/image/MCY/19180119 ")</f>
        <v xml:space="preserve">http://slimages.macys.com/is/image/MCY/19180119 </v>
      </c>
      <c r="N360" s="30"/>
    </row>
    <row r="361" spans="1:14" ht="60" x14ac:dyDescent="0.25">
      <c r="A361" s="19" t="s">
        <v>5511</v>
      </c>
      <c r="B361" s="17" t="s">
        <v>5510</v>
      </c>
      <c r="C361" s="20">
        <v>1</v>
      </c>
      <c r="D361" s="18">
        <v>39.5</v>
      </c>
      <c r="E361" s="20" t="s">
        <v>1731</v>
      </c>
      <c r="F361" s="17" t="s">
        <v>91</v>
      </c>
      <c r="G361" s="19" t="s">
        <v>74</v>
      </c>
      <c r="H361" s="18">
        <v>7.4400000000000013</v>
      </c>
      <c r="I361" s="17" t="s">
        <v>56</v>
      </c>
      <c r="J361" s="17" t="s">
        <v>55</v>
      </c>
      <c r="K361" s="17"/>
      <c r="L361" s="17"/>
      <c r="M361" s="16" t="str">
        <f>HYPERLINK("http://slimages.macys.com/is/image/MCY/18372028 ")</f>
        <v xml:space="preserve">http://slimages.macys.com/is/image/MCY/18372028 </v>
      </c>
      <c r="N361" s="30"/>
    </row>
    <row r="362" spans="1:14" ht="60" x14ac:dyDescent="0.25">
      <c r="A362" s="19" t="s">
        <v>1735</v>
      </c>
      <c r="B362" s="17" t="s">
        <v>1734</v>
      </c>
      <c r="C362" s="20">
        <v>1</v>
      </c>
      <c r="D362" s="18">
        <v>39.5</v>
      </c>
      <c r="E362" s="20" t="s">
        <v>1713</v>
      </c>
      <c r="F362" s="17" t="s">
        <v>51</v>
      </c>
      <c r="G362" s="19" t="s">
        <v>57</v>
      </c>
      <c r="H362" s="18">
        <v>7.4400000000000013</v>
      </c>
      <c r="I362" s="17" t="s">
        <v>56</v>
      </c>
      <c r="J362" s="17" t="s">
        <v>55</v>
      </c>
      <c r="K362" s="17"/>
      <c r="L362" s="17"/>
      <c r="M362" s="16" t="str">
        <f>HYPERLINK("http://slimages.macys.com/is/image/MCY/19182945 ")</f>
        <v xml:space="preserve">http://slimages.macys.com/is/image/MCY/19182945 </v>
      </c>
      <c r="N362" s="30"/>
    </row>
    <row r="363" spans="1:14" ht="60" x14ac:dyDescent="0.25">
      <c r="A363" s="19" t="s">
        <v>1719</v>
      </c>
      <c r="B363" s="17" t="s">
        <v>1718</v>
      </c>
      <c r="C363" s="20">
        <v>2</v>
      </c>
      <c r="D363" s="18">
        <v>39.5</v>
      </c>
      <c r="E363" s="20" t="s">
        <v>1713</v>
      </c>
      <c r="F363" s="17" t="s">
        <v>51</v>
      </c>
      <c r="G363" s="19" t="s">
        <v>74</v>
      </c>
      <c r="H363" s="18">
        <v>7.4400000000000013</v>
      </c>
      <c r="I363" s="17" t="s">
        <v>56</v>
      </c>
      <c r="J363" s="17" t="s">
        <v>55</v>
      </c>
      <c r="K363" s="17"/>
      <c r="L363" s="17"/>
      <c r="M363" s="16" t="str">
        <f>HYPERLINK("http://slimages.macys.com/is/image/MCY/19182945 ")</f>
        <v xml:space="preserve">http://slimages.macys.com/is/image/MCY/19182945 </v>
      </c>
      <c r="N363" s="30"/>
    </row>
    <row r="364" spans="1:14" ht="60" x14ac:dyDescent="0.25">
      <c r="A364" s="19" t="s">
        <v>5509</v>
      </c>
      <c r="B364" s="17" t="s">
        <v>5508</v>
      </c>
      <c r="C364" s="20">
        <v>1</v>
      </c>
      <c r="D364" s="18">
        <v>49</v>
      </c>
      <c r="E364" s="20">
        <v>2331616</v>
      </c>
      <c r="F364" s="17" t="s">
        <v>23</v>
      </c>
      <c r="G364" s="19" t="s">
        <v>50</v>
      </c>
      <c r="H364" s="18">
        <v>7.4000000000000012</v>
      </c>
      <c r="I364" s="17" t="s">
        <v>80</v>
      </c>
      <c r="J364" s="17" t="s">
        <v>293</v>
      </c>
      <c r="K364" s="17"/>
      <c r="L364" s="17"/>
      <c r="M364" s="16" t="str">
        <f>HYPERLINK("http://slimages.macys.com/is/image/MCY/19753740 ")</f>
        <v xml:space="preserve">http://slimages.macys.com/is/image/MCY/19753740 </v>
      </c>
      <c r="N364" s="30"/>
    </row>
    <row r="365" spans="1:14" ht="60" x14ac:dyDescent="0.25">
      <c r="A365" s="19" t="s">
        <v>5507</v>
      </c>
      <c r="B365" s="17" t="s">
        <v>5506</v>
      </c>
      <c r="C365" s="20">
        <v>1</v>
      </c>
      <c r="D365" s="18">
        <v>59</v>
      </c>
      <c r="E365" s="20" t="s">
        <v>4918</v>
      </c>
      <c r="F365" s="17" t="s">
        <v>1536</v>
      </c>
      <c r="G365" s="19" t="s">
        <v>351</v>
      </c>
      <c r="H365" s="18">
        <v>7.3333333333333339</v>
      </c>
      <c r="I365" s="17" t="s">
        <v>550</v>
      </c>
      <c r="J365" s="17" t="s">
        <v>1448</v>
      </c>
      <c r="K365" s="17"/>
      <c r="L365" s="17"/>
      <c r="M365" s="16" t="str">
        <f>HYPERLINK("http://slimages.macys.com/is/image/MCY/18373595 ")</f>
        <v xml:space="preserve">http://slimages.macys.com/is/image/MCY/18373595 </v>
      </c>
      <c r="N365" s="30"/>
    </row>
    <row r="366" spans="1:14" ht="60" x14ac:dyDescent="0.25">
      <c r="A366" s="19" t="s">
        <v>5505</v>
      </c>
      <c r="B366" s="17" t="s">
        <v>5504</v>
      </c>
      <c r="C366" s="20">
        <v>1</v>
      </c>
      <c r="D366" s="18">
        <v>27.3</v>
      </c>
      <c r="E366" s="20" t="s">
        <v>199</v>
      </c>
      <c r="F366" s="17" t="s">
        <v>198</v>
      </c>
      <c r="G366" s="19" t="s">
        <v>62</v>
      </c>
      <c r="H366" s="18">
        <v>7.120000000000001</v>
      </c>
      <c r="I366" s="17" t="s">
        <v>42</v>
      </c>
      <c r="J366" s="17" t="s">
        <v>41</v>
      </c>
      <c r="K366" s="17"/>
      <c r="L366" s="17"/>
      <c r="M366" s="16" t="str">
        <f>HYPERLINK("http://slimages.macys.com/is/image/MCY/19112196 ")</f>
        <v xml:space="preserve">http://slimages.macys.com/is/image/MCY/19112196 </v>
      </c>
      <c r="N366" s="30"/>
    </row>
    <row r="367" spans="1:14" ht="60" x14ac:dyDescent="0.25">
      <c r="A367" s="19" t="s">
        <v>5503</v>
      </c>
      <c r="B367" s="17" t="s">
        <v>5502</v>
      </c>
      <c r="C367" s="20">
        <v>1</v>
      </c>
      <c r="D367" s="18">
        <v>27.3</v>
      </c>
      <c r="E367" s="20" t="s">
        <v>194</v>
      </c>
      <c r="F367" s="17" t="s">
        <v>23</v>
      </c>
      <c r="G367" s="19" t="s">
        <v>197</v>
      </c>
      <c r="H367" s="18">
        <v>7.120000000000001</v>
      </c>
      <c r="I367" s="17" t="s">
        <v>42</v>
      </c>
      <c r="J367" s="17" t="s">
        <v>41</v>
      </c>
      <c r="K367" s="17"/>
      <c r="L367" s="17"/>
      <c r="M367" s="16" t="str">
        <f>HYPERLINK("http://slimages.macys.com/is/image/MCY/19112108 ")</f>
        <v xml:space="preserve">http://slimages.macys.com/is/image/MCY/19112108 </v>
      </c>
      <c r="N367" s="30"/>
    </row>
    <row r="368" spans="1:14" ht="60" x14ac:dyDescent="0.25">
      <c r="A368" s="19" t="s">
        <v>5501</v>
      </c>
      <c r="B368" s="17" t="s">
        <v>5500</v>
      </c>
      <c r="C368" s="20">
        <v>11</v>
      </c>
      <c r="D368" s="18">
        <v>30</v>
      </c>
      <c r="E368" s="20" t="s">
        <v>3287</v>
      </c>
      <c r="F368" s="17" t="s">
        <v>413</v>
      </c>
      <c r="G368" s="19" t="s">
        <v>22</v>
      </c>
      <c r="H368" s="18">
        <v>6.9933333333333332</v>
      </c>
      <c r="I368" s="17" t="s">
        <v>16</v>
      </c>
      <c r="J368" s="17" t="s">
        <v>15</v>
      </c>
      <c r="K368" s="17"/>
      <c r="L368" s="17"/>
      <c r="M368" s="16" t="str">
        <f>HYPERLINK("http://slimages.macys.com/is/image/MCY/18946163 ")</f>
        <v xml:space="preserve">http://slimages.macys.com/is/image/MCY/18946163 </v>
      </c>
      <c r="N368" s="30"/>
    </row>
    <row r="369" spans="1:14" ht="60" x14ac:dyDescent="0.25">
      <c r="A369" s="19" t="s">
        <v>5499</v>
      </c>
      <c r="B369" s="17" t="s">
        <v>5498</v>
      </c>
      <c r="C369" s="20">
        <v>1</v>
      </c>
      <c r="D369" s="18">
        <v>30</v>
      </c>
      <c r="E369" s="20" t="s">
        <v>3287</v>
      </c>
      <c r="F369" s="17" t="s">
        <v>413</v>
      </c>
      <c r="G369" s="19" t="s">
        <v>101</v>
      </c>
      <c r="H369" s="18">
        <v>6.9933333333333332</v>
      </c>
      <c r="I369" s="17" t="s">
        <v>16</v>
      </c>
      <c r="J369" s="17" t="s">
        <v>15</v>
      </c>
      <c r="K369" s="17"/>
      <c r="L369" s="17"/>
      <c r="M369" s="16" t="str">
        <f>HYPERLINK("http://slimages.macys.com/is/image/MCY/18946163 ")</f>
        <v xml:space="preserve">http://slimages.macys.com/is/image/MCY/18946163 </v>
      </c>
      <c r="N369" s="30"/>
    </row>
    <row r="370" spans="1:14" ht="60" x14ac:dyDescent="0.25">
      <c r="A370" s="19" t="s">
        <v>5497</v>
      </c>
      <c r="B370" s="17" t="s">
        <v>5496</v>
      </c>
      <c r="C370" s="20">
        <v>1</v>
      </c>
      <c r="D370" s="18">
        <v>36.75</v>
      </c>
      <c r="E370" s="20" t="s">
        <v>5495</v>
      </c>
      <c r="F370" s="17" t="s">
        <v>35</v>
      </c>
      <c r="G370" s="19" t="s">
        <v>351</v>
      </c>
      <c r="H370" s="18">
        <v>6.6133333333333333</v>
      </c>
      <c r="I370" s="17" t="s">
        <v>358</v>
      </c>
      <c r="J370" s="17" t="s">
        <v>32</v>
      </c>
      <c r="K370" s="17"/>
      <c r="L370" s="17"/>
      <c r="M370" s="16" t="str">
        <f>HYPERLINK("http://slimages.macys.com/is/image/MCY/19586643 ")</f>
        <v xml:space="preserve">http://slimages.macys.com/is/image/MCY/19586643 </v>
      </c>
      <c r="N370" s="30"/>
    </row>
    <row r="371" spans="1:14" ht="60" x14ac:dyDescent="0.25">
      <c r="A371" s="19" t="s">
        <v>5494</v>
      </c>
      <c r="B371" s="17" t="s">
        <v>5493</v>
      </c>
      <c r="C371" s="20">
        <v>1</v>
      </c>
      <c r="D371" s="18">
        <v>28</v>
      </c>
      <c r="E371" s="20" t="s">
        <v>3282</v>
      </c>
      <c r="F371" s="17" t="s">
        <v>164</v>
      </c>
      <c r="G371" s="19" t="s">
        <v>69</v>
      </c>
      <c r="H371" s="18">
        <v>6.5333333333333332</v>
      </c>
      <c r="I371" s="17" t="s">
        <v>80</v>
      </c>
      <c r="J371" s="17" t="s">
        <v>79</v>
      </c>
      <c r="K371" s="17"/>
      <c r="L371" s="17"/>
      <c r="M371" s="16" t="str">
        <f>HYPERLINK("http://slimages.macys.com/is/image/MCY/18593745 ")</f>
        <v xml:space="preserve">http://slimages.macys.com/is/image/MCY/18593745 </v>
      </c>
      <c r="N371" s="30"/>
    </row>
    <row r="372" spans="1:14" ht="96" x14ac:dyDescent="0.25">
      <c r="A372" s="19" t="s">
        <v>5492</v>
      </c>
      <c r="B372" s="17" t="s">
        <v>5491</v>
      </c>
      <c r="C372" s="20">
        <v>4</v>
      </c>
      <c r="D372" s="18">
        <v>39</v>
      </c>
      <c r="E372" s="20" t="s">
        <v>5490</v>
      </c>
      <c r="F372" s="17" t="s">
        <v>91</v>
      </c>
      <c r="G372" s="19" t="s">
        <v>22</v>
      </c>
      <c r="H372" s="18">
        <v>6.5</v>
      </c>
      <c r="I372" s="17" t="s">
        <v>129</v>
      </c>
      <c r="J372" s="17" t="s">
        <v>128</v>
      </c>
      <c r="K372" s="17" t="s">
        <v>637</v>
      </c>
      <c r="L372" s="17" t="s">
        <v>5489</v>
      </c>
      <c r="M372" s="16" t="str">
        <f>HYPERLINK("http://images.bloomingdales.com/is/image/BLM/11504244 ")</f>
        <v xml:space="preserve">http://images.bloomingdales.com/is/image/BLM/11504244 </v>
      </c>
      <c r="N372" s="30"/>
    </row>
    <row r="373" spans="1:14" ht="60" x14ac:dyDescent="0.25">
      <c r="A373" s="19" t="s">
        <v>5488</v>
      </c>
      <c r="B373" s="17" t="s">
        <v>5487</v>
      </c>
      <c r="C373" s="20">
        <v>3</v>
      </c>
      <c r="D373" s="18">
        <v>38</v>
      </c>
      <c r="E373" s="20" t="s">
        <v>5486</v>
      </c>
      <c r="F373" s="17" t="s">
        <v>164</v>
      </c>
      <c r="G373" s="19" t="s">
        <v>69</v>
      </c>
      <c r="H373" s="18">
        <v>6.5</v>
      </c>
      <c r="I373" s="17" t="s">
        <v>80</v>
      </c>
      <c r="J373" s="17" t="s">
        <v>79</v>
      </c>
      <c r="K373" s="17"/>
      <c r="L373" s="17"/>
      <c r="M373" s="16" t="str">
        <f>HYPERLINK("http://slimages.macys.com/is/image/MCY/18611593 ")</f>
        <v xml:space="preserve">http://slimages.macys.com/is/image/MCY/18611593 </v>
      </c>
      <c r="N373" s="30"/>
    </row>
    <row r="374" spans="1:14" ht="60" x14ac:dyDescent="0.25">
      <c r="A374" s="19" t="s">
        <v>5485</v>
      </c>
      <c r="B374" s="17" t="s">
        <v>5484</v>
      </c>
      <c r="C374" s="20">
        <v>1</v>
      </c>
      <c r="D374" s="18">
        <v>39</v>
      </c>
      <c r="E374" s="20" t="s">
        <v>5483</v>
      </c>
      <c r="F374" s="17" t="s">
        <v>51</v>
      </c>
      <c r="G374" s="19" t="s">
        <v>197</v>
      </c>
      <c r="H374" s="18">
        <v>6.12</v>
      </c>
      <c r="I374" s="17" t="s">
        <v>4609</v>
      </c>
      <c r="J374" s="17" t="s">
        <v>4608</v>
      </c>
      <c r="K374" s="17"/>
      <c r="L374" s="17"/>
      <c r="M374" s="16" t="str">
        <f>HYPERLINK("http://slimages.macys.com/is/image/MCY/17565610 ")</f>
        <v xml:space="preserve">http://slimages.macys.com/is/image/MCY/17565610 </v>
      </c>
      <c r="N374" s="30"/>
    </row>
    <row r="375" spans="1:14" ht="60" x14ac:dyDescent="0.25">
      <c r="A375" s="19" t="s">
        <v>980</v>
      </c>
      <c r="B375" s="17" t="s">
        <v>979</v>
      </c>
      <c r="C375" s="20">
        <v>1</v>
      </c>
      <c r="D375" s="18">
        <v>25</v>
      </c>
      <c r="E375" s="20" t="s">
        <v>978</v>
      </c>
      <c r="F375" s="17" t="s">
        <v>28</v>
      </c>
      <c r="G375" s="19" t="s">
        <v>62</v>
      </c>
      <c r="H375" s="18">
        <v>5.86</v>
      </c>
      <c r="I375" s="17" t="s">
        <v>16</v>
      </c>
      <c r="J375" s="17" t="s">
        <v>15</v>
      </c>
      <c r="K375" s="17"/>
      <c r="L375" s="17"/>
      <c r="M375" s="16" t="str">
        <f>HYPERLINK("http://slimages.macys.com/is/image/MCY/19122031 ")</f>
        <v xml:space="preserve">http://slimages.macys.com/is/image/MCY/19122031 </v>
      </c>
      <c r="N375" s="30"/>
    </row>
    <row r="376" spans="1:14" ht="60" x14ac:dyDescent="0.25">
      <c r="A376" s="19" t="s">
        <v>2484</v>
      </c>
      <c r="B376" s="17" t="s">
        <v>2483</v>
      </c>
      <c r="C376" s="20">
        <v>1</v>
      </c>
      <c r="D376" s="18">
        <v>25</v>
      </c>
      <c r="E376" s="20" t="s">
        <v>2482</v>
      </c>
      <c r="F376" s="17" t="s">
        <v>558</v>
      </c>
      <c r="G376" s="19" t="s">
        <v>17</v>
      </c>
      <c r="H376" s="18">
        <v>5.86</v>
      </c>
      <c r="I376" s="17" t="s">
        <v>16</v>
      </c>
      <c r="J376" s="17" t="s">
        <v>15</v>
      </c>
      <c r="K376" s="17"/>
      <c r="L376" s="17"/>
      <c r="M376" s="16" t="str">
        <f>HYPERLINK("http://slimages.macys.com/is/image/MCY/19147143 ")</f>
        <v xml:space="preserve">http://slimages.macys.com/is/image/MCY/19147143 </v>
      </c>
      <c r="N376" s="30"/>
    </row>
    <row r="377" spans="1:14" ht="60" x14ac:dyDescent="0.25">
      <c r="A377" s="19" t="s">
        <v>5482</v>
      </c>
      <c r="B377" s="17" t="s">
        <v>5481</v>
      </c>
      <c r="C377" s="20">
        <v>1</v>
      </c>
      <c r="D377" s="18">
        <v>25</v>
      </c>
      <c r="E377" s="20" t="s">
        <v>975</v>
      </c>
      <c r="F377" s="17" t="s">
        <v>23</v>
      </c>
      <c r="G377" s="19" t="s">
        <v>22</v>
      </c>
      <c r="H377" s="18">
        <v>5.8533333333333335</v>
      </c>
      <c r="I377" s="17" t="s">
        <v>16</v>
      </c>
      <c r="J377" s="17" t="s">
        <v>15</v>
      </c>
      <c r="K377" s="17"/>
      <c r="L377" s="17"/>
      <c r="M377" s="16" t="str">
        <f>HYPERLINK("http://slimages.macys.com/is/image/MCY/18053798 ")</f>
        <v xml:space="preserve">http://slimages.macys.com/is/image/MCY/18053798 </v>
      </c>
      <c r="N377" s="30"/>
    </row>
    <row r="378" spans="1:14" ht="60" x14ac:dyDescent="0.25">
      <c r="A378" s="19" t="s">
        <v>5480</v>
      </c>
      <c r="B378" s="17" t="s">
        <v>5479</v>
      </c>
      <c r="C378" s="20">
        <v>1</v>
      </c>
      <c r="D378" s="18">
        <v>25</v>
      </c>
      <c r="E378" s="20" t="s">
        <v>5474</v>
      </c>
      <c r="F378" s="17" t="s">
        <v>51</v>
      </c>
      <c r="G378" s="19" t="s">
        <v>62</v>
      </c>
      <c r="H378" s="18">
        <v>5.8533333333333335</v>
      </c>
      <c r="I378" s="17" t="s">
        <v>16</v>
      </c>
      <c r="J378" s="17" t="s">
        <v>15</v>
      </c>
      <c r="K378" s="17"/>
      <c r="L378" s="17"/>
      <c r="M378" s="16" t="str">
        <f>HYPERLINK("http://slimages.macys.com/is/image/MCY/18862769 ")</f>
        <v xml:space="preserve">http://slimages.macys.com/is/image/MCY/18862769 </v>
      </c>
      <c r="N378" s="30"/>
    </row>
    <row r="379" spans="1:14" ht="60" x14ac:dyDescent="0.25">
      <c r="A379" s="19" t="s">
        <v>970</v>
      </c>
      <c r="B379" s="17" t="s">
        <v>969</v>
      </c>
      <c r="C379" s="20">
        <v>1</v>
      </c>
      <c r="D379" s="18">
        <v>25</v>
      </c>
      <c r="E379" s="20" t="s">
        <v>968</v>
      </c>
      <c r="F379" s="17" t="s">
        <v>508</v>
      </c>
      <c r="G379" s="19" t="s">
        <v>62</v>
      </c>
      <c r="H379" s="18">
        <v>5.8533333333333335</v>
      </c>
      <c r="I379" s="17" t="s">
        <v>16</v>
      </c>
      <c r="J379" s="17" t="s">
        <v>15</v>
      </c>
      <c r="K379" s="17"/>
      <c r="L379" s="17"/>
      <c r="M379" s="16" t="str">
        <f>HYPERLINK("http://slimages.macys.com/is/image/MCY/18863498 ")</f>
        <v xml:space="preserve">http://slimages.macys.com/is/image/MCY/18863498 </v>
      </c>
      <c r="N379" s="30"/>
    </row>
    <row r="380" spans="1:14" ht="60" x14ac:dyDescent="0.25">
      <c r="A380" s="19" t="s">
        <v>5478</v>
      </c>
      <c r="B380" s="17" t="s">
        <v>5477</v>
      </c>
      <c r="C380" s="20">
        <v>1</v>
      </c>
      <c r="D380" s="18">
        <v>25</v>
      </c>
      <c r="E380" s="20" t="s">
        <v>965</v>
      </c>
      <c r="F380" s="17" t="s">
        <v>23</v>
      </c>
      <c r="G380" s="19" t="s">
        <v>62</v>
      </c>
      <c r="H380" s="18">
        <v>5.8533333333333335</v>
      </c>
      <c r="I380" s="17" t="s">
        <v>16</v>
      </c>
      <c r="J380" s="17" t="s">
        <v>15</v>
      </c>
      <c r="K380" s="17"/>
      <c r="L380" s="17"/>
      <c r="M380" s="16" t="str">
        <f>HYPERLINK("http://slimages.macys.com/is/image/MCY/19419444 ")</f>
        <v xml:space="preserve">http://slimages.macys.com/is/image/MCY/19419444 </v>
      </c>
      <c r="N380" s="30"/>
    </row>
    <row r="381" spans="1:14" ht="60" x14ac:dyDescent="0.25">
      <c r="A381" s="19" t="s">
        <v>5476</v>
      </c>
      <c r="B381" s="17" t="s">
        <v>5475</v>
      </c>
      <c r="C381" s="20">
        <v>2</v>
      </c>
      <c r="D381" s="18">
        <v>25</v>
      </c>
      <c r="E381" s="20" t="s">
        <v>5474</v>
      </c>
      <c r="F381" s="17" t="s">
        <v>51</v>
      </c>
      <c r="G381" s="19" t="s">
        <v>101</v>
      </c>
      <c r="H381" s="18">
        <v>5.8533333333333335</v>
      </c>
      <c r="I381" s="17" t="s">
        <v>16</v>
      </c>
      <c r="J381" s="17" t="s">
        <v>15</v>
      </c>
      <c r="K381" s="17"/>
      <c r="L381" s="17"/>
      <c r="M381" s="16" t="str">
        <f>HYPERLINK("http://slimages.macys.com/is/image/MCY/18862769 ")</f>
        <v xml:space="preserve">http://slimages.macys.com/is/image/MCY/18862769 </v>
      </c>
      <c r="N381" s="30"/>
    </row>
    <row r="382" spans="1:14" ht="60" x14ac:dyDescent="0.25">
      <c r="A382" s="19" t="s">
        <v>5473</v>
      </c>
      <c r="B382" s="17" t="s">
        <v>5472</v>
      </c>
      <c r="C382" s="20">
        <v>6</v>
      </c>
      <c r="D382" s="18">
        <v>25</v>
      </c>
      <c r="E382" s="20" t="s">
        <v>2469</v>
      </c>
      <c r="F382" s="17" t="s">
        <v>558</v>
      </c>
      <c r="G382" s="19" t="s">
        <v>22</v>
      </c>
      <c r="H382" s="18">
        <v>5.8533333333333335</v>
      </c>
      <c r="I382" s="17" t="s">
        <v>16</v>
      </c>
      <c r="J382" s="17" t="s">
        <v>15</v>
      </c>
      <c r="K382" s="17"/>
      <c r="L382" s="17"/>
      <c r="M382" s="16" t="str">
        <f>HYPERLINK("http://slimages.macys.com/is/image/MCY/19544562 ")</f>
        <v xml:space="preserve">http://slimages.macys.com/is/image/MCY/19544562 </v>
      </c>
      <c r="N382" s="30"/>
    </row>
    <row r="383" spans="1:14" ht="60" x14ac:dyDescent="0.25">
      <c r="A383" s="19" t="s">
        <v>5471</v>
      </c>
      <c r="B383" s="17" t="s">
        <v>5470</v>
      </c>
      <c r="C383" s="20">
        <v>1</v>
      </c>
      <c r="D383" s="18">
        <v>25</v>
      </c>
      <c r="E383" s="20" t="s">
        <v>975</v>
      </c>
      <c r="F383" s="17" t="s">
        <v>23</v>
      </c>
      <c r="G383" s="19" t="s">
        <v>17</v>
      </c>
      <c r="H383" s="18">
        <v>5.8533333333333335</v>
      </c>
      <c r="I383" s="17" t="s">
        <v>16</v>
      </c>
      <c r="J383" s="17" t="s">
        <v>15</v>
      </c>
      <c r="K383" s="17"/>
      <c r="L383" s="17"/>
      <c r="M383" s="16" t="str">
        <f>HYPERLINK("http://slimages.macys.com/is/image/MCY/18053798 ")</f>
        <v xml:space="preserve">http://slimages.macys.com/is/image/MCY/18053798 </v>
      </c>
      <c r="N383" s="30"/>
    </row>
    <row r="384" spans="1:14" ht="60" x14ac:dyDescent="0.25">
      <c r="A384" s="19" t="s">
        <v>5469</v>
      </c>
      <c r="B384" s="17" t="s">
        <v>5468</v>
      </c>
      <c r="C384" s="20">
        <v>1</v>
      </c>
      <c r="D384" s="18">
        <v>24.5</v>
      </c>
      <c r="E384" s="20" t="s">
        <v>3268</v>
      </c>
      <c r="F384" s="17" t="s">
        <v>85</v>
      </c>
      <c r="G384" s="19" t="s">
        <v>139</v>
      </c>
      <c r="H384" s="18">
        <v>5.7333333333333334</v>
      </c>
      <c r="I384" s="17" t="s">
        <v>1891</v>
      </c>
      <c r="J384" s="17" t="s">
        <v>67</v>
      </c>
      <c r="K384" s="17" t="s">
        <v>389</v>
      </c>
      <c r="L384" s="17" t="s">
        <v>3264</v>
      </c>
      <c r="M384" s="16" t="str">
        <f>HYPERLINK("http://slimages.macys.com/is/image/MCY/8330385 ")</f>
        <v xml:space="preserve">http://slimages.macys.com/is/image/MCY/8330385 </v>
      </c>
      <c r="N384" s="30"/>
    </row>
    <row r="385" spans="1:14" ht="60" x14ac:dyDescent="0.25">
      <c r="A385" s="19" t="s">
        <v>5467</v>
      </c>
      <c r="B385" s="17" t="s">
        <v>5466</v>
      </c>
      <c r="C385" s="20">
        <v>2</v>
      </c>
      <c r="D385" s="18">
        <v>39.5</v>
      </c>
      <c r="E385" s="20" t="s">
        <v>4194</v>
      </c>
      <c r="F385" s="17" t="s">
        <v>206</v>
      </c>
      <c r="G385" s="19" t="s">
        <v>62</v>
      </c>
      <c r="H385" s="18">
        <v>5.5533333333333337</v>
      </c>
      <c r="I385" s="17" t="s">
        <v>56</v>
      </c>
      <c r="J385" s="17" t="s">
        <v>55</v>
      </c>
      <c r="K385" s="17"/>
      <c r="L385" s="17"/>
      <c r="M385" s="16" t="str">
        <f>HYPERLINK("http://slimages.macys.com/is/image/MCY/19254579 ")</f>
        <v xml:space="preserve">http://slimages.macys.com/is/image/MCY/19254579 </v>
      </c>
      <c r="N385" s="30"/>
    </row>
    <row r="386" spans="1:14" ht="60" x14ac:dyDescent="0.25">
      <c r="A386" s="19" t="s">
        <v>5465</v>
      </c>
      <c r="B386" s="17" t="s">
        <v>5464</v>
      </c>
      <c r="C386" s="20">
        <v>1</v>
      </c>
      <c r="D386" s="18">
        <v>39.5</v>
      </c>
      <c r="E386" s="20" t="s">
        <v>4194</v>
      </c>
      <c r="F386" s="17" t="s">
        <v>206</v>
      </c>
      <c r="G386" s="19" t="s">
        <v>69</v>
      </c>
      <c r="H386" s="18">
        <v>5.5533333333333337</v>
      </c>
      <c r="I386" s="17" t="s">
        <v>56</v>
      </c>
      <c r="J386" s="17" t="s">
        <v>55</v>
      </c>
      <c r="K386" s="17"/>
      <c r="L386" s="17"/>
      <c r="M386" s="16" t="str">
        <f>HYPERLINK("http://slimages.macys.com/is/image/MCY/19254579 ")</f>
        <v xml:space="preserve">http://slimages.macys.com/is/image/MCY/19254579 </v>
      </c>
      <c r="N386" s="30"/>
    </row>
    <row r="387" spans="1:14" ht="60" x14ac:dyDescent="0.25">
      <c r="A387" s="19" t="s">
        <v>5463</v>
      </c>
      <c r="B387" s="17" t="s">
        <v>5462</v>
      </c>
      <c r="C387" s="20">
        <v>1</v>
      </c>
      <c r="D387" s="18">
        <v>28</v>
      </c>
      <c r="E387" s="20" t="s">
        <v>5461</v>
      </c>
      <c r="F387" s="17" t="s">
        <v>23</v>
      </c>
      <c r="G387" s="19" t="s">
        <v>57</v>
      </c>
      <c r="H387" s="18">
        <v>5.2266666666666675</v>
      </c>
      <c r="I387" s="17" t="s">
        <v>80</v>
      </c>
      <c r="J387" s="17" t="s">
        <v>183</v>
      </c>
      <c r="K387" s="17"/>
      <c r="L387" s="17"/>
      <c r="M387" s="16" t="str">
        <f>HYPERLINK("http://slimages.macys.com/is/image/MCY/19737028 ")</f>
        <v xml:space="preserve">http://slimages.macys.com/is/image/MCY/19737028 </v>
      </c>
      <c r="N387" s="30"/>
    </row>
    <row r="388" spans="1:14" ht="60" x14ac:dyDescent="0.25">
      <c r="A388" s="19" t="s">
        <v>5460</v>
      </c>
      <c r="B388" s="17" t="s">
        <v>5459</v>
      </c>
      <c r="C388" s="20">
        <v>2</v>
      </c>
      <c r="D388" s="18">
        <v>34</v>
      </c>
      <c r="E388" s="20" t="s">
        <v>3249</v>
      </c>
      <c r="F388" s="17" t="s">
        <v>345</v>
      </c>
      <c r="G388" s="19" t="s">
        <v>74</v>
      </c>
      <c r="H388" s="18">
        <v>5.0666666666666673</v>
      </c>
      <c r="I388" s="17" t="s">
        <v>1700</v>
      </c>
      <c r="J388" s="17" t="s">
        <v>1699</v>
      </c>
      <c r="K388" s="17"/>
      <c r="L388" s="17"/>
      <c r="M388" s="16" t="str">
        <f>HYPERLINK("http://slimages.macys.com/is/image/MCY/18944604 ")</f>
        <v xml:space="preserve">http://slimages.macys.com/is/image/MCY/18944604 </v>
      </c>
      <c r="N388" s="30"/>
    </row>
    <row r="389" spans="1:14" ht="60" x14ac:dyDescent="0.25">
      <c r="A389" s="19" t="s">
        <v>5458</v>
      </c>
      <c r="B389" s="17" t="s">
        <v>5457</v>
      </c>
      <c r="C389" s="20">
        <v>1</v>
      </c>
      <c r="D389" s="18">
        <v>34</v>
      </c>
      <c r="E389" s="20" t="s">
        <v>5456</v>
      </c>
      <c r="F389" s="17" t="s">
        <v>23</v>
      </c>
      <c r="G389" s="19" t="s">
        <v>57</v>
      </c>
      <c r="H389" s="18">
        <v>5.0666666666666673</v>
      </c>
      <c r="I389" s="17" t="s">
        <v>1700</v>
      </c>
      <c r="J389" s="17" t="s">
        <v>1699</v>
      </c>
      <c r="K389" s="17"/>
      <c r="L389" s="17"/>
      <c r="M389" s="16" t="str">
        <f>HYPERLINK("http://slimages.macys.com/is/image/MCY/18428516 ")</f>
        <v xml:space="preserve">http://slimages.macys.com/is/image/MCY/18428516 </v>
      </c>
      <c r="N389" s="30"/>
    </row>
    <row r="390" spans="1:14" ht="60" x14ac:dyDescent="0.25">
      <c r="A390" s="19" t="s">
        <v>5455</v>
      </c>
      <c r="B390" s="17" t="s">
        <v>5454</v>
      </c>
      <c r="C390" s="20">
        <v>1</v>
      </c>
      <c r="D390" s="18">
        <v>34</v>
      </c>
      <c r="E390" s="20" t="s">
        <v>5453</v>
      </c>
      <c r="F390" s="17" t="s">
        <v>508</v>
      </c>
      <c r="G390" s="19" t="s">
        <v>57</v>
      </c>
      <c r="H390" s="18">
        <v>5.0666666666666673</v>
      </c>
      <c r="I390" s="17" t="s">
        <v>1700</v>
      </c>
      <c r="J390" s="17" t="s">
        <v>1699</v>
      </c>
      <c r="K390" s="17"/>
      <c r="L390" s="17"/>
      <c r="M390" s="16" t="str">
        <f>HYPERLINK("http://slimages.macys.com/is/image/MCY/18863829 ")</f>
        <v xml:space="preserve">http://slimages.macys.com/is/image/MCY/18863829 </v>
      </c>
      <c r="N390" s="30"/>
    </row>
    <row r="391" spans="1:14" ht="60" x14ac:dyDescent="0.25">
      <c r="A391" s="19" t="s">
        <v>5452</v>
      </c>
      <c r="B391" s="17" t="s">
        <v>5451</v>
      </c>
      <c r="C391" s="20">
        <v>1</v>
      </c>
      <c r="D391" s="18">
        <v>20</v>
      </c>
      <c r="E391" s="20" t="s">
        <v>3239</v>
      </c>
      <c r="F391" s="17" t="s">
        <v>149</v>
      </c>
      <c r="G391" s="19" t="s">
        <v>50</v>
      </c>
      <c r="H391" s="18">
        <v>4.9466666666666672</v>
      </c>
      <c r="I391" s="17" t="s">
        <v>16</v>
      </c>
      <c r="J391" s="17" t="s">
        <v>15</v>
      </c>
      <c r="K391" s="17"/>
      <c r="L391" s="17"/>
      <c r="M391" s="16" t="str">
        <f>HYPERLINK("http://slimages.macys.com/is/image/MCY/18946626 ")</f>
        <v xml:space="preserve">http://slimages.macys.com/is/image/MCY/18946626 </v>
      </c>
      <c r="N391" s="30"/>
    </row>
    <row r="392" spans="1:14" ht="60" x14ac:dyDescent="0.25">
      <c r="A392" s="19" t="s">
        <v>5450</v>
      </c>
      <c r="B392" s="17" t="s">
        <v>5449</v>
      </c>
      <c r="C392" s="20">
        <v>1</v>
      </c>
      <c r="D392" s="18">
        <v>20</v>
      </c>
      <c r="E392" s="20" t="s">
        <v>3239</v>
      </c>
      <c r="F392" s="17" t="s">
        <v>282</v>
      </c>
      <c r="G392" s="19" t="s">
        <v>50</v>
      </c>
      <c r="H392" s="18">
        <v>4.9466666666666672</v>
      </c>
      <c r="I392" s="17" t="s">
        <v>16</v>
      </c>
      <c r="J392" s="17" t="s">
        <v>15</v>
      </c>
      <c r="K392" s="17"/>
      <c r="L392" s="17"/>
      <c r="M392" s="16" t="str">
        <f>HYPERLINK("http://slimages.macys.com/is/image/MCY/18946626 ")</f>
        <v xml:space="preserve">http://slimages.macys.com/is/image/MCY/18946626 </v>
      </c>
      <c r="N392" s="30"/>
    </row>
    <row r="393" spans="1:14" ht="60" x14ac:dyDescent="0.25">
      <c r="A393" s="19" t="s">
        <v>5448</v>
      </c>
      <c r="B393" s="17" t="s">
        <v>5447</v>
      </c>
      <c r="C393" s="20">
        <v>1</v>
      </c>
      <c r="D393" s="18">
        <v>25</v>
      </c>
      <c r="E393" s="20" t="s">
        <v>5446</v>
      </c>
      <c r="F393" s="17" t="s">
        <v>23</v>
      </c>
      <c r="G393" s="19" t="s">
        <v>27</v>
      </c>
      <c r="H393" s="18">
        <v>3.82</v>
      </c>
      <c r="I393" s="17" t="s">
        <v>16</v>
      </c>
      <c r="J393" s="17" t="s">
        <v>15</v>
      </c>
      <c r="K393" s="17"/>
      <c r="L393" s="17"/>
      <c r="M393" s="16" t="str">
        <f>HYPERLINK("http://slimages.macys.com/is/image/MCY/19025615 ")</f>
        <v xml:space="preserve">http://slimages.macys.com/is/image/MCY/19025615 </v>
      </c>
      <c r="N393" s="30"/>
    </row>
    <row r="394" spans="1:14" ht="48" x14ac:dyDescent="0.25">
      <c r="A394" s="19" t="s">
        <v>5445</v>
      </c>
      <c r="B394" s="17" t="s">
        <v>5444</v>
      </c>
      <c r="C394" s="20">
        <v>1</v>
      </c>
      <c r="D394" s="18">
        <v>109.99</v>
      </c>
      <c r="E394" s="20">
        <v>50039689</v>
      </c>
      <c r="F394" s="17" t="s">
        <v>555</v>
      </c>
      <c r="G394" s="19" t="s">
        <v>1445</v>
      </c>
      <c r="H394" s="18">
        <v>32</v>
      </c>
      <c r="I394" s="17" t="s">
        <v>879</v>
      </c>
      <c r="J394" s="17" t="s">
        <v>850</v>
      </c>
      <c r="K394" s="17"/>
      <c r="L394" s="17"/>
      <c r="M394" s="16"/>
      <c r="N394" s="30"/>
    </row>
    <row r="395" spans="1:14" ht="48" x14ac:dyDescent="0.25">
      <c r="A395" s="19" t="s">
        <v>4843</v>
      </c>
      <c r="B395" s="17" t="s">
        <v>4842</v>
      </c>
      <c r="C395" s="20">
        <v>2</v>
      </c>
      <c r="D395" s="18">
        <v>89.99</v>
      </c>
      <c r="E395" s="20">
        <v>50039919</v>
      </c>
      <c r="F395" s="17" t="s">
        <v>51</v>
      </c>
      <c r="G395" s="19" t="s">
        <v>898</v>
      </c>
      <c r="H395" s="18">
        <v>26.666666666666668</v>
      </c>
      <c r="I395" s="17" t="s">
        <v>854</v>
      </c>
      <c r="J395" s="17" t="s">
        <v>850</v>
      </c>
      <c r="K395" s="17"/>
      <c r="L395" s="17"/>
      <c r="M395" s="16"/>
      <c r="N395" s="30"/>
    </row>
    <row r="396" spans="1:14" ht="48" x14ac:dyDescent="0.25">
      <c r="A396" s="19" t="s">
        <v>5443</v>
      </c>
      <c r="B396" s="17" t="s">
        <v>5442</v>
      </c>
      <c r="C396" s="20">
        <v>1</v>
      </c>
      <c r="D396" s="18">
        <v>148</v>
      </c>
      <c r="E396" s="20" t="s">
        <v>1423</v>
      </c>
      <c r="F396" s="17" t="s">
        <v>23</v>
      </c>
      <c r="G396" s="19" t="s">
        <v>1862</v>
      </c>
      <c r="H396" s="18">
        <v>26.64</v>
      </c>
      <c r="I396" s="17" t="s">
        <v>115</v>
      </c>
      <c r="J396" s="17" t="s">
        <v>742</v>
      </c>
      <c r="K396" s="17"/>
      <c r="L396" s="17"/>
      <c r="M396" s="16"/>
      <c r="N396" s="30"/>
    </row>
    <row r="397" spans="1:14" ht="48" x14ac:dyDescent="0.25">
      <c r="A397" s="19" t="s">
        <v>5441</v>
      </c>
      <c r="B397" s="17" t="s">
        <v>5440</v>
      </c>
      <c r="C397" s="20">
        <v>1</v>
      </c>
      <c r="D397" s="18">
        <v>99.99</v>
      </c>
      <c r="E397" s="20">
        <v>50039533</v>
      </c>
      <c r="F397" s="17" t="s">
        <v>51</v>
      </c>
      <c r="G397" s="19" t="s">
        <v>880</v>
      </c>
      <c r="H397" s="18">
        <v>26</v>
      </c>
      <c r="I397" s="17" t="s">
        <v>879</v>
      </c>
      <c r="J397" s="17" t="s">
        <v>850</v>
      </c>
      <c r="K397" s="17"/>
      <c r="L397" s="17"/>
      <c r="M397" s="16"/>
      <c r="N397" s="30"/>
    </row>
    <row r="398" spans="1:14" ht="48" x14ac:dyDescent="0.25">
      <c r="A398" s="19" t="s">
        <v>883</v>
      </c>
      <c r="B398" s="17" t="s">
        <v>882</v>
      </c>
      <c r="C398" s="20">
        <v>1</v>
      </c>
      <c r="D398" s="18">
        <v>109.99</v>
      </c>
      <c r="E398" s="20">
        <v>50039453</v>
      </c>
      <c r="F398" s="17" t="s">
        <v>881</v>
      </c>
      <c r="G398" s="19" t="s">
        <v>880</v>
      </c>
      <c r="H398" s="18">
        <v>26</v>
      </c>
      <c r="I398" s="17" t="s">
        <v>879</v>
      </c>
      <c r="J398" s="17" t="s">
        <v>850</v>
      </c>
      <c r="K398" s="17"/>
      <c r="L398" s="17"/>
      <c r="M398" s="16"/>
      <c r="N398" s="30"/>
    </row>
    <row r="399" spans="1:14" ht="48" x14ac:dyDescent="0.25">
      <c r="A399" s="19" t="s">
        <v>5439</v>
      </c>
      <c r="B399" s="17" t="s">
        <v>5438</v>
      </c>
      <c r="C399" s="20">
        <v>1</v>
      </c>
      <c r="D399" s="18">
        <v>129</v>
      </c>
      <c r="E399" s="20">
        <v>10807588</v>
      </c>
      <c r="F399" s="17" t="s">
        <v>51</v>
      </c>
      <c r="G399" s="19" t="s">
        <v>57</v>
      </c>
      <c r="H399" s="18">
        <v>24.94</v>
      </c>
      <c r="I399" s="17" t="s">
        <v>120</v>
      </c>
      <c r="J399" s="17" t="s">
        <v>119</v>
      </c>
      <c r="K399" s="17"/>
      <c r="L399" s="17"/>
      <c r="M399" s="16"/>
      <c r="N399" s="30"/>
    </row>
    <row r="400" spans="1:14" ht="48" x14ac:dyDescent="0.25">
      <c r="A400" s="19" t="s">
        <v>5437</v>
      </c>
      <c r="B400" s="17" t="s">
        <v>5436</v>
      </c>
      <c r="C400" s="20">
        <v>1</v>
      </c>
      <c r="D400" s="18">
        <v>79.989999999999995</v>
      </c>
      <c r="E400" s="20">
        <v>50039427</v>
      </c>
      <c r="F400" s="17" t="s">
        <v>726</v>
      </c>
      <c r="G400" s="19" t="s">
        <v>898</v>
      </c>
      <c r="H400" s="18">
        <v>23.333333333333336</v>
      </c>
      <c r="I400" s="17" t="s">
        <v>854</v>
      </c>
      <c r="J400" s="17" t="s">
        <v>850</v>
      </c>
      <c r="K400" s="17"/>
      <c r="L400" s="17"/>
      <c r="M400" s="16"/>
      <c r="N400" s="30"/>
    </row>
    <row r="401" spans="1:14" ht="48" x14ac:dyDescent="0.25">
      <c r="A401" s="19" t="s">
        <v>5435</v>
      </c>
      <c r="B401" s="17" t="s">
        <v>5434</v>
      </c>
      <c r="C401" s="20">
        <v>1</v>
      </c>
      <c r="D401" s="18">
        <v>89.99</v>
      </c>
      <c r="E401" s="20">
        <v>50039704</v>
      </c>
      <c r="F401" s="17" t="s">
        <v>555</v>
      </c>
      <c r="G401" s="19" t="s">
        <v>644</v>
      </c>
      <c r="H401" s="18">
        <v>23.333333333333336</v>
      </c>
      <c r="I401" s="17" t="s">
        <v>851</v>
      </c>
      <c r="J401" s="17" t="s">
        <v>850</v>
      </c>
      <c r="K401" s="17"/>
      <c r="L401" s="17"/>
      <c r="M401" s="16"/>
      <c r="N401" s="30"/>
    </row>
    <row r="402" spans="1:14" ht="48" x14ac:dyDescent="0.25">
      <c r="A402" s="19" t="s">
        <v>876</v>
      </c>
      <c r="B402" s="17" t="s">
        <v>875</v>
      </c>
      <c r="C402" s="20">
        <v>1</v>
      </c>
      <c r="D402" s="18">
        <v>89.99</v>
      </c>
      <c r="E402" s="20">
        <v>50039672</v>
      </c>
      <c r="F402" s="17" t="s">
        <v>28</v>
      </c>
      <c r="G402" s="19" t="s">
        <v>874</v>
      </c>
      <c r="H402" s="18">
        <v>23.333333333333336</v>
      </c>
      <c r="I402" s="17" t="s">
        <v>851</v>
      </c>
      <c r="J402" s="17" t="s">
        <v>850</v>
      </c>
      <c r="K402" s="17"/>
      <c r="L402" s="17"/>
      <c r="M402" s="16"/>
      <c r="N402" s="30"/>
    </row>
    <row r="403" spans="1:14" ht="48" x14ac:dyDescent="0.25">
      <c r="A403" s="19" t="s">
        <v>5433</v>
      </c>
      <c r="B403" s="17" t="s">
        <v>5432</v>
      </c>
      <c r="C403" s="20">
        <v>1</v>
      </c>
      <c r="D403" s="18">
        <v>89.99</v>
      </c>
      <c r="E403" s="20">
        <v>50039768</v>
      </c>
      <c r="F403" s="17" t="s">
        <v>63</v>
      </c>
      <c r="G403" s="19" t="s">
        <v>1968</v>
      </c>
      <c r="H403" s="18">
        <v>23.333333333333336</v>
      </c>
      <c r="I403" s="17" t="s">
        <v>851</v>
      </c>
      <c r="J403" s="17" t="s">
        <v>850</v>
      </c>
      <c r="K403" s="17"/>
      <c r="L403" s="17"/>
      <c r="M403" s="16"/>
      <c r="N403" s="30"/>
    </row>
    <row r="404" spans="1:14" ht="48" x14ac:dyDescent="0.25">
      <c r="A404" s="19" t="s">
        <v>5431</v>
      </c>
      <c r="B404" s="17" t="s">
        <v>5430</v>
      </c>
      <c r="C404" s="20">
        <v>1</v>
      </c>
      <c r="D404" s="18">
        <v>89.99</v>
      </c>
      <c r="E404" s="20">
        <v>50039479</v>
      </c>
      <c r="F404" s="17" t="s">
        <v>44</v>
      </c>
      <c r="G404" s="19" t="s">
        <v>773</v>
      </c>
      <c r="H404" s="18">
        <v>23.333333333333336</v>
      </c>
      <c r="I404" s="17" t="s">
        <v>854</v>
      </c>
      <c r="J404" s="17" t="s">
        <v>850</v>
      </c>
      <c r="K404" s="17"/>
      <c r="L404" s="17"/>
      <c r="M404" s="16"/>
      <c r="N404" s="30"/>
    </row>
    <row r="405" spans="1:14" ht="48" x14ac:dyDescent="0.25">
      <c r="A405" s="19" t="s">
        <v>5429</v>
      </c>
      <c r="B405" s="17" t="s">
        <v>5428</v>
      </c>
      <c r="C405" s="20">
        <v>1</v>
      </c>
      <c r="D405" s="18">
        <v>89.99</v>
      </c>
      <c r="E405" s="20">
        <v>50039451</v>
      </c>
      <c r="F405" s="17" t="s">
        <v>881</v>
      </c>
      <c r="G405" s="19" t="s">
        <v>96</v>
      </c>
      <c r="H405" s="18">
        <v>23.333333333333336</v>
      </c>
      <c r="I405" s="17" t="s">
        <v>854</v>
      </c>
      <c r="J405" s="17" t="s">
        <v>850</v>
      </c>
      <c r="K405" s="17"/>
      <c r="L405" s="17"/>
      <c r="M405" s="16"/>
      <c r="N405" s="30"/>
    </row>
    <row r="406" spans="1:14" ht="48" x14ac:dyDescent="0.25">
      <c r="A406" s="19" t="s">
        <v>1641</v>
      </c>
      <c r="B406" s="17" t="s">
        <v>1640</v>
      </c>
      <c r="C406" s="20">
        <v>1</v>
      </c>
      <c r="D406" s="18">
        <v>89.99</v>
      </c>
      <c r="E406" s="20">
        <v>50039647</v>
      </c>
      <c r="F406" s="17" t="s">
        <v>726</v>
      </c>
      <c r="G406" s="19" t="s">
        <v>96</v>
      </c>
      <c r="H406" s="18">
        <v>23.333333333333336</v>
      </c>
      <c r="I406" s="17" t="s">
        <v>854</v>
      </c>
      <c r="J406" s="17" t="s">
        <v>850</v>
      </c>
      <c r="K406" s="17"/>
      <c r="L406" s="17"/>
      <c r="M406" s="16"/>
      <c r="N406" s="30"/>
    </row>
    <row r="407" spans="1:14" ht="60" x14ac:dyDescent="0.25">
      <c r="A407" s="19" t="s">
        <v>5427</v>
      </c>
      <c r="B407" s="17" t="s">
        <v>5426</v>
      </c>
      <c r="C407" s="20">
        <v>1</v>
      </c>
      <c r="D407" s="18">
        <v>99</v>
      </c>
      <c r="E407" s="20" t="s">
        <v>5425</v>
      </c>
      <c r="F407" s="17" t="s">
        <v>726</v>
      </c>
      <c r="G407" s="19" t="s">
        <v>857</v>
      </c>
      <c r="H407" s="18">
        <v>20.46</v>
      </c>
      <c r="I407" s="17" t="s">
        <v>144</v>
      </c>
      <c r="J407" s="17" t="s">
        <v>2043</v>
      </c>
      <c r="K407" s="17"/>
      <c r="L407" s="17"/>
      <c r="M407" s="16"/>
      <c r="N407" s="30"/>
    </row>
    <row r="408" spans="1:14" ht="48" x14ac:dyDescent="0.25">
      <c r="A408" s="19" t="s">
        <v>5424</v>
      </c>
      <c r="B408" s="17" t="s">
        <v>5423</v>
      </c>
      <c r="C408" s="20">
        <v>2</v>
      </c>
      <c r="D408" s="18">
        <v>99.99</v>
      </c>
      <c r="E408" s="20">
        <v>50038279</v>
      </c>
      <c r="F408" s="17" t="s">
        <v>535</v>
      </c>
      <c r="G408" s="19" t="s">
        <v>857</v>
      </c>
      <c r="H408" s="18">
        <v>20</v>
      </c>
      <c r="I408" s="17" t="s">
        <v>854</v>
      </c>
      <c r="J408" s="17" t="s">
        <v>850</v>
      </c>
      <c r="K408" s="17"/>
      <c r="L408" s="17"/>
      <c r="M408" s="16"/>
      <c r="N408" s="30"/>
    </row>
    <row r="409" spans="1:14" ht="48" x14ac:dyDescent="0.25">
      <c r="A409" s="19" t="s">
        <v>90</v>
      </c>
      <c r="B409" s="17" t="s">
        <v>89</v>
      </c>
      <c r="C409" s="20">
        <v>1</v>
      </c>
      <c r="D409" s="18">
        <v>62.3</v>
      </c>
      <c r="E409" s="20" t="s">
        <v>86</v>
      </c>
      <c r="F409" s="17" t="s">
        <v>85</v>
      </c>
      <c r="G409" s="19"/>
      <c r="H409" s="18">
        <v>12.6</v>
      </c>
      <c r="I409" s="17" t="s">
        <v>42</v>
      </c>
      <c r="J409" s="17" t="s">
        <v>41</v>
      </c>
      <c r="K409" s="17"/>
      <c r="L409" s="17"/>
      <c r="M409" s="16"/>
      <c r="N409" s="30"/>
    </row>
    <row r="410" spans="1:14" ht="48" x14ac:dyDescent="0.25">
      <c r="A410" s="19" t="s">
        <v>5422</v>
      </c>
      <c r="B410" s="17" t="s">
        <v>1623</v>
      </c>
      <c r="C410" s="20">
        <v>1</v>
      </c>
      <c r="D410" s="18">
        <v>49</v>
      </c>
      <c r="E410" s="20" t="s">
        <v>1622</v>
      </c>
      <c r="F410" s="17" t="s">
        <v>575</v>
      </c>
      <c r="G410" s="19" t="s">
        <v>74</v>
      </c>
      <c r="H410" s="18">
        <v>9.1466666666666683</v>
      </c>
      <c r="I410" s="17" t="s">
        <v>820</v>
      </c>
      <c r="J410" s="17" t="s">
        <v>67</v>
      </c>
      <c r="K410" s="17"/>
      <c r="L410" s="17"/>
      <c r="M410" s="16"/>
      <c r="N410" s="30"/>
    </row>
    <row r="411" spans="1:14" ht="48" x14ac:dyDescent="0.25">
      <c r="A411" s="19" t="s">
        <v>5421</v>
      </c>
      <c r="B411" s="17" t="s">
        <v>1623</v>
      </c>
      <c r="C411" s="20">
        <v>1</v>
      </c>
      <c r="D411" s="18">
        <v>49</v>
      </c>
      <c r="E411" s="20" t="s">
        <v>1622</v>
      </c>
      <c r="F411" s="17" t="s">
        <v>23</v>
      </c>
      <c r="G411" s="19" t="s">
        <v>69</v>
      </c>
      <c r="H411" s="18">
        <v>9.1466666666666683</v>
      </c>
      <c r="I411" s="17" t="s">
        <v>820</v>
      </c>
      <c r="J411" s="17" t="s">
        <v>67</v>
      </c>
      <c r="K411" s="17"/>
      <c r="L411" s="17"/>
      <c r="M411" s="16"/>
      <c r="N411" s="30"/>
    </row>
    <row r="412" spans="1:14" ht="48" x14ac:dyDescent="0.25">
      <c r="A412" s="19" t="s">
        <v>2433</v>
      </c>
      <c r="B412" s="17" t="s">
        <v>2432</v>
      </c>
      <c r="C412" s="20">
        <v>1</v>
      </c>
      <c r="D412" s="18">
        <v>34.299999999999997</v>
      </c>
      <c r="E412" s="20" t="s">
        <v>1617</v>
      </c>
      <c r="F412" s="17" t="s">
        <v>433</v>
      </c>
      <c r="G412" s="19" t="s">
        <v>57</v>
      </c>
      <c r="H412" s="18">
        <v>8.9466666666666672</v>
      </c>
      <c r="I412" s="17" t="s">
        <v>42</v>
      </c>
      <c r="J412" s="17" t="s">
        <v>41</v>
      </c>
      <c r="K412" s="17"/>
      <c r="L412" s="17"/>
      <c r="M412" s="16"/>
      <c r="N412" s="30"/>
    </row>
    <row r="413" spans="1:14" ht="48" x14ac:dyDescent="0.25">
      <c r="A413" s="19" t="s">
        <v>5420</v>
      </c>
      <c r="B413" s="17" t="s">
        <v>5419</v>
      </c>
      <c r="C413" s="20">
        <v>19</v>
      </c>
      <c r="D413" s="18">
        <v>34.299999999999997</v>
      </c>
      <c r="E413" s="20" t="s">
        <v>1617</v>
      </c>
      <c r="F413" s="17" t="s">
        <v>58</v>
      </c>
      <c r="G413" s="19" t="s">
        <v>197</v>
      </c>
      <c r="H413" s="18">
        <v>8.9466666666666672</v>
      </c>
      <c r="I413" s="17" t="s">
        <v>42</v>
      </c>
      <c r="J413" s="17" t="s">
        <v>41</v>
      </c>
      <c r="K413" s="17"/>
      <c r="L413" s="17"/>
      <c r="M413" s="16"/>
      <c r="N413" s="30"/>
    </row>
    <row r="414" spans="1:14" ht="48" x14ac:dyDescent="0.25">
      <c r="A414" s="19" t="s">
        <v>5418</v>
      </c>
      <c r="B414" s="17" t="s">
        <v>5417</v>
      </c>
      <c r="C414" s="20">
        <v>9</v>
      </c>
      <c r="D414" s="18">
        <v>31.5</v>
      </c>
      <c r="E414" s="20" t="s">
        <v>5416</v>
      </c>
      <c r="F414" s="17" t="s">
        <v>63</v>
      </c>
      <c r="G414" s="19" t="s">
        <v>69</v>
      </c>
      <c r="H414" s="18">
        <v>8.2200000000000006</v>
      </c>
      <c r="I414" s="17" t="s">
        <v>42</v>
      </c>
      <c r="J414" s="17" t="s">
        <v>41</v>
      </c>
      <c r="K414" s="17"/>
      <c r="L414" s="17"/>
      <c r="M414" s="16"/>
      <c r="N414" s="30"/>
    </row>
    <row r="415" spans="1:14" ht="36" x14ac:dyDescent="0.25">
      <c r="A415" s="19" t="s">
        <v>5415</v>
      </c>
      <c r="B415" s="17" t="s">
        <v>5414</v>
      </c>
      <c r="C415" s="20">
        <v>1</v>
      </c>
      <c r="D415" s="18">
        <v>30</v>
      </c>
      <c r="E415" s="20" t="s">
        <v>5413</v>
      </c>
      <c r="F415" s="17" t="s">
        <v>51</v>
      </c>
      <c r="G415" s="19" t="s">
        <v>62</v>
      </c>
      <c r="H415" s="18">
        <v>7.8666666666666663</v>
      </c>
      <c r="I415" s="17" t="s">
        <v>16</v>
      </c>
      <c r="J415" s="17" t="s">
        <v>15</v>
      </c>
      <c r="K415" s="17"/>
      <c r="L415" s="17"/>
      <c r="M415" s="16"/>
      <c r="N415" s="30"/>
    </row>
    <row r="416" spans="1:14" ht="36" x14ac:dyDescent="0.25">
      <c r="A416" s="19" t="s">
        <v>5412</v>
      </c>
      <c r="B416" s="17" t="s">
        <v>5411</v>
      </c>
      <c r="C416" s="20">
        <v>1</v>
      </c>
      <c r="D416" s="18">
        <v>25</v>
      </c>
      <c r="E416" s="20" t="s">
        <v>5410</v>
      </c>
      <c r="F416" s="17" t="s">
        <v>35</v>
      </c>
      <c r="G416" s="19" t="s">
        <v>57</v>
      </c>
      <c r="H416" s="18">
        <v>6</v>
      </c>
      <c r="I416" s="17" t="s">
        <v>80</v>
      </c>
      <c r="J416" s="17" t="s">
        <v>187</v>
      </c>
      <c r="K416" s="17"/>
      <c r="L416" s="17"/>
      <c r="M416" s="16"/>
      <c r="N416" s="30"/>
    </row>
  </sheetData>
  <pageMargins left="0.5" right="0.5" top="0.25" bottom="0.25" header="0.3" footer="0.3"/>
  <pageSetup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INDEX</vt:lpstr>
      <vt:lpstr>14139506</vt:lpstr>
      <vt:lpstr>13988608</vt:lpstr>
      <vt:lpstr>13986326</vt:lpstr>
      <vt:lpstr>13974678</vt:lpstr>
      <vt:lpstr>13971123</vt:lpstr>
      <vt:lpstr>13966390</vt:lpstr>
      <vt:lpstr>13956300</vt:lpstr>
      <vt:lpstr>13945369</vt:lpstr>
      <vt:lpstr>13943460</vt:lpstr>
      <vt:lpstr>13924835</vt:lpstr>
      <vt:lpstr>13814863</vt:lpstr>
      <vt:lpstr>13812457</vt:lpstr>
      <vt:lpstr>13808823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Buyer</dc:creator>
  <cp:lastModifiedBy>Dators</cp:lastModifiedBy>
  <dcterms:created xsi:type="dcterms:W3CDTF">2022-09-07T13:02:32Z</dcterms:created>
  <dcterms:modified xsi:type="dcterms:W3CDTF">2022-09-09T09:22:15Z</dcterms:modified>
</cp:coreProperties>
</file>